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WimWz8ZFXzwJ5seRgAN9I6Gwvw60DU0RtMdx3uRLrj1q7FHQI+LRA/b8PxZhJfr8o90YX8XT5qnmJpDMggd3tg==" workbookSaltValue="YCCoNiRe2mWE5Llq9UmXU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S19" i="8" l="1"/>
  <c r="AC19" i="8"/>
  <c r="AL16" i="11"/>
  <c r="C16" i="6"/>
  <c r="B13" i="2"/>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D19" i="12"/>
  <c r="AO13" i="17"/>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<sst xmlns="http://schemas.openxmlformats.org/spreadsheetml/2006/main" count="2102" uniqueCount="918">
  <si>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</si>
  <si>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</si>
  <si>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</si>
  <si>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</si>
  <si>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</si>
  <si>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</si>
  <si>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</si>
  <si>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</si>
  <si>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</si>
  <si>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</si>
  <si>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</si>
  <si>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</si>
  <si>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</si>
  <si>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</si>
  <si>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</si>
  <si>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</si>
  <si>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</si>
  <si>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</si>
  <si>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</si>
  <si>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</si>
  <si>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</si>
  <si>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</si>
  <si>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</si>
  <si>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</si>
  <si>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</si>
  <si>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</si>
  <si>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</si>
  <si>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</si>
  <si>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</si>
  <si>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</si>
  <si>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</si>
  <si>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</si>
  <si>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</si>
  <si>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</si>
  <si>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</si>
  <si>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</si>
  <si>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</si>
  <si>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</si>
  <si>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</si>
  <si>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</si>
  <si>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</si>
  <si>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</si>
  <si>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</si>
  <si>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</si>
  <si>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</si>
  <si>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</si>
  <si>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</si>
  <si>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</si>
  <si>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</si>
  <si>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</si>
  <si>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</si>
  <si>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</si>
  <si>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</si>
  <si>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</si>
  <si>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</si>
  <si>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</si>
  <si>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</si>
  <si>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</si>
  <si>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</si>
  <si>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</si>
  <si>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</si>
  <si>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</si>
  <si>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</si>
  <si>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</si>
  <si>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</si>
  <si>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</si>
  <si>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</si>
  <si>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</si>
  <si>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</si>
  <si>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</si>
  <si>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</si>
  <si>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</si>
  <si>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</si>
  <si>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</si>
  <si>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</si>
  <si>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</si>
  <si>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</si>
  <si>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</si>
  <si>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</si>
  <si>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</si>
  <si>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</si>
  <si>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</si>
  <si>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</si>
  <si>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</si>
  <si>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</si>
  <si>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</si>
  <si>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</si>
  <si>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</si>
  <si>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</si>
  <si>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</si>
  <si>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</si>
  <si>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</si>
  <si>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</si>
  <si>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</si>
  <si>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</si>
  <si>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</si>
  <si>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</si>
  <si>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</si>
  <si>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</si>
  <si>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</si>
  <si>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</si>
  <si>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</si>
  <si>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</si>
  <si>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</si>
  <si>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</si>
  <si>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</si>
  <si>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</si>
  <si>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</si>
  <si>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</si>
  <si>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</si>
  <si>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</si>
  <si>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</si>
  <si>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</si>
  <si>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</si>
  <si>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</si>
  <si>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</si>
  <si>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</si>
  <si>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</si>
  <si>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</si>
  <si>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</si>
  <si>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</si>
  <si>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</si>
  <si>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</si>
  <si>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</si>
  <si>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</si>
  <si>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</si>
  <si>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</si>
  <si>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</si>
  <si>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</si>
  <si>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</si>
  <si>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</si>
  <si>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</si>
  <si>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</si>
  <si>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</si>
  <si>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</si>
  <si>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</si>
  <si>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</si>
  <si>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</si>
  <si>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</si>
  <si>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</si>
  <si>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</si>
  <si>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</si>
  <si>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</si>
  <si>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</si>
  <si>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</si>
  <si>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</si>
  <si>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</si>
  <si>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</si>
  <si>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</si>
  <si>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</si>
  <si>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</si>
  <si>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</si>
  <si>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</si>
  <si>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</si>
  <si>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</si>
  <si>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</si>
  <si>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</si>
  <si>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</si>
  <si>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</si>
  <si>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</si>
  <si>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</si>
  <si>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</si>
  <si>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</si>
  <si>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</si>
  <si>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</si>
  <si>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</si>
  <si>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</si>
  <si>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</si>
  <si>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</si>
  <si>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</si>
  <si>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</si>
  <si>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</si>
  <si>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</si>
  <si>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</si>
  <si>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</si>
  <si>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</si>
  <si>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</si>
  <si>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</si>
  <si>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</si>
  <si>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</si>
  <si>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</si>
  <si>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</si>
  <si>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</si>
  <si>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</si>
  <si>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</si>
  <si>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</si>
  <si>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</si>
  <si>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</si>
  <si>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</si>
  <si>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</si>
  <si>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</si>
  <si>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</si>
  <si>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</si>
  <si>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</si>
  <si>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</si>
  <si>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</si>
  <si>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</si>
  <si>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</si>
  <si>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</si>
  <si>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</si>
  <si>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</si>
  <si>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</si>
  <si>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</si>
  <si>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</si>
  <si>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</si>
  <si>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</si>
  <si>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</si>
  <si>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</si>
  <si>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</si>
  <si>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</si>
  <si>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</si>
  <si>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</si>
  <si>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</si>
  <si>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</si>
  <si>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</si>
  <si>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</si>
  <si>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</si>
  <si>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</si>
  <si>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</si>
  <si>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</si>
  <si>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</si>
  <si>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</si>
  <si>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</si>
  <si>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</si>
  <si>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</si>
  <si>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</si>
  <si>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</si>
  <si>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</si>
  <si>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</si>
  <si>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</si>
  <si>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</si>
  <si>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</si>
  <si>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</si>
  <si>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</si>
  <si>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</si>
  <si>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</si>
  <si>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</si>
  <si>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</si>
  <si>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</si>
  <si>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</si>
  <si>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</si>
  <si>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</si>
  <si>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</si>
  <si>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</si>
  <si>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</si>
  <si>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</si>
  <si>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</si>
  <si>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</si>
  <si>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</si>
  <si>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</si>
  <si>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</si>
  <si>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</si>
  <si>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</si>
  <si>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</si>
  <si>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</si>
  <si>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</si>
  <si>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</si>
  <si>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</si>
  <si>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</si>
  <si>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</si>
  <si>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</si>
  <si>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</si>
  <si>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</si>
  <si>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</si>
  <si>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</si>
  <si>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</si>
  <si>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</si>
  <si>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</si>
  <si>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</si>
  <si>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</si>
  <si>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</si>
  <si>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</si>
  <si>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</si>
  <si>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</si>
  <si>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</si>
  <si>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</si>
  <si>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</si>
  <si>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</si>
  <si>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</si>
  <si>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</si>
  <si>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</si>
  <si>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</si>
  <si>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</si>
  <si>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</si>
  <si>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</si>
  <si>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</si>
  <si>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</si>
  <si>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</si>
  <si>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</si>
  <si>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</si>
  <si>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</si>
  <si>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</si>
  <si>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</si>
  <si>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</si>
  <si>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</si>
  <si>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</si>
  <si>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</si>
  <si>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</si>
  <si>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</si>
  <si>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</si>
  <si>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</si>
  <si>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</si>
  <si>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</si>
  <si>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</si>
  <si>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</si>
  <si>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</si>
  <si>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</si>
  <si>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</si>
  <si>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</si>
  <si>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</si>
  <si>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</si>
  <si>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</si>
  <si>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</si>
  <si>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</si>
  <si>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</si>
  <si>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</si>
  <si>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</si>
  <si>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</si>
  <si>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</si>
  <si>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</si>
  <si>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</si>
  <si>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</si>
  <si>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</si>
  <si>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</si>
  <si>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</si>
  <si>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</si>
  <si>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</si>
  <si>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</si>
  <si>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</si>
  <si>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</si>
  <si>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</si>
  <si>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</si>
  <si>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</si>
  <si>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</si>
  <si>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</si>
  <si>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</si>
  <si>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</si>
  <si>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</si>
  <si>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</si>
  <si>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</si>
  <si>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</si>
  <si>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</si>
  <si>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</si>
  <si>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</si>
  <si>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</si>
  <si>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</si>
  <si>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</si>
  <si>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</si>
  <si>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</si>
  <si>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</si>
  <si>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</si>
  <si>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</si>
  <si>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</si>
  <si>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</si>
  <si>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</si>
  <si>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</si>
  <si>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</si>
  <si>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</si>
  <si>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</si>
  <si>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</si>
  <si>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</si>
  <si>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</si>
  <si>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</si>
  <si>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</si>
  <si>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</si>
  <si>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</si>
  <si>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</si>
  <si>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</si>
  <si>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</si>
  <si>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</si>
  <si>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</si>
  <si>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</si>
  <si>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</si>
  <si>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</si>
  <si>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</si>
  <si>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</si>
  <si>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</si>
  <si>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</si>
  <si>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</si>
  <si>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</si>
  <si>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</si>
  <si>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</si>
  <si>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</si>
  <si>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</si>
  <si>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</si>
  <si>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</si>
  <si>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</si>
  <si>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</si>
  <si>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</si>
  <si>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</si>
  <si>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</si>
  <si>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</si>
  <si>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</si>
  <si>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</si>
  <si>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</si>
  <si>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</si>
  <si>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</si>
  <si>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</si>
  <si>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</si>
  <si>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</si>
  <si>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</si>
  <si>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</si>
  <si>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</si>
  <si>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</si>
  <si>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</si>
  <si>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</si>
  <si>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</si>
  <si>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</si>
  <si>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</si>
  <si>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</si>
  <si>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</si>
  <si>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</si>
  <si>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</si>
  <si>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</si>
  <si>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</si>
  <si>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</si>
  <si>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</si>
  <si>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</si>
  <si>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</si>
  <si>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</si>
  <si>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</si>
  <si>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</si>
  <si>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</si>
  <si>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</si>
  <si>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</si>
  <si>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</si>
  <si>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</si>
  <si>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</si>
  <si>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</si>
  <si>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</si>
  <si>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</si>
  <si>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</si>
  <si>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</si>
  <si>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</si>
  <si>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</si>
  <si>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</si>
  <si>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</si>
  <si>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</si>
  <si>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</si>
  <si>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</si>
  <si>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</si>
  <si>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</si>
  <si>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</si>
  <si>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</si>
  <si>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</si>
  <si>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</si>
  <si>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</si>
  <si>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</si>
  <si>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</si>
  <si>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</si>
  <si>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</si>
  <si>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</si>
  <si>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</si>
  <si>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</si>
  <si>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</si>
  <si>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</si>
  <si>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</si>
  <si>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</si>
  <si>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</si>
  <si>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</si>
  <si>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</si>
  <si>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</si>
  <si>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</si>
  <si>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</si>
  <si>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</si>
  <si>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</si>
  <si>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</si>
  <si>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</si>
  <si>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</si>
  <si>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</si>
  <si>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</si>
  <si>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</si>
  <si>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</si>
  <si>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</si>
  <si>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</si>
  <si>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</si>
  <si>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</si>
  <si>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</si>
  <si>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</si>
  <si>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</si>
  <si>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</si>
  <si>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</si>
  <si>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</si>
  <si>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</si>
  <si>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</si>
  <si>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</si>
  <si>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</si>
  <si>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</si>
  <si>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</si>
  <si>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</si>
  <si>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</si>
  <si>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</si>
  <si>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</si>
  <si>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</si>
  <si>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</si>
  <si>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</si>
  <si>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</si>
  <si>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</si>
  <si>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</si>
  <si>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</si>
  <si>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</si>
  <si>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</si>
  <si>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</si>
  <si>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</si>
  <si>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</si>
  <si>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</si>
  <si>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</si>
  <si>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</si>
  <si>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</si>
  <si>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</si>
  <si>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</si>
  <si>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</si>
  <si>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</si>
  <si>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</si>
  <si>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</si>
  <si>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</si>
  <si>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</si>
  <si>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</si>
  <si>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</si>
  <si>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</si>
  <si>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</si>
  <si>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</si>
  <si>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</si>
  <si>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</si>
  <si>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</si>
  <si>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</si>
  <si>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</si>
  <si>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</si>
  <si>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</si>
  <si>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</si>
  <si>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</si>
  <si>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</si>
  <si>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</si>
  <si>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</si>
  <si>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</si>
  <si>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</si>
  <si>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</si>
  <si>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</si>
  <si>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</si>
  <si>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</si>
  <si>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</si>
  <si>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</si>
  <si>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</si>
  <si>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</si>
  <si>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</si>
  <si>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</si>
  <si>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</si>
  <si>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</si>
  <si>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</si>
  <si>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</si>
  <si>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</si>
  <si>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</si>
  <si>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</si>
  <si>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</si>
  <si>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</si>
  <si>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</si>
  <si>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</si>
  <si>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</si>
  <si>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</si>
  <si>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</si>
  <si>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</si>
  <si>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</si>
  <si>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</si>
  <si>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</si>
  <si>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</si>
  <si>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</si>
  <si>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</si>
  <si>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</si>
  <si>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</si>
  <si>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</si>
  <si>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</si>
  <si>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</si>
  <si>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</si>
  <si>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</si>
  <si>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</si>
  <si>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</si>
  <si>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</si>
  <si>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</si>
  <si>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</si>
  <si>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</si>
  <si>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</si>
  <si>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</si>
  <si>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</si>
  <si>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</si>
  <si>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</si>
  <si>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</si>
  <si>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</si>
  <si>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</si>
  <si>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</si>
  <si>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</si>
  <si>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</si>
  <si>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</si>
  <si>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</si>
  <si>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</si>
  <si>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</si>
  <si>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</si>
  <si>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</si>
  <si>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</si>
  <si>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</si>
  <si>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</si>
  <si>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</si>
  <si>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</si>
  <si>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</si>
  <si>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</si>
  <si>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</si>
  <si>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</si>
  <si>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</si>
  <si>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</si>
  <si>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</si>
  <si>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</si>
  <si>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</si>
  <si>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</si>
  <si>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</si>
  <si>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</si>
  <si>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</si>
  <si>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</si>
  <si>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</si>
  <si>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</si>
  <si>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</si>
  <si>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</si>
  <si>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</si>
  <si>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</si>
  <si>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</si>
  <si>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</si>
  <si>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</si>
  <si>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</si>
  <si>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</si>
  <si>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</si>
  <si>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</si>
  <si>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</si>
  <si>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</si>
  <si>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</si>
  <si>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</si>
  <si>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</si>
  <si>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</si>
  <si>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</si>
  <si>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</si>
  <si>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</si>
  <si>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</si>
  <si>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</si>
  <si>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</si>
  <si>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</si>
  <si>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</si>
  <si>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</si>
  <si>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</si>
  <si>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</si>
  <si>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</si>
  <si>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</si>
  <si>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</si>
  <si>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</si>
  <si>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</si>
  <si>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</si>
  <si>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</si>
  <si>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</si>
  <si>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</si>
  <si>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</si>
  <si>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</si>
  <si>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</si>
  <si>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</si>
  <si>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</si>
  <si>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</si>
  <si>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</si>
  <si>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</si>
  <si>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</si>
  <si>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</si>
  <si>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</si>
  <si>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</si>
  <si>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</si>
  <si>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</si>
  <si>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</si>
  <si>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</si>
  <si>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</si>
  <si>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</si>
  <si>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</si>
  <si>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</si>
  <si>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</si>
  <si>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</si>
  <si>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</si>
  <si>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</si>
  <si>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</si>
  <si>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</si>
  <si>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</si>
  <si>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</si>
  <si>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</si>
  <si>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</si>
  <si>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</si>
  <si>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</si>
  <si>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</si>
  <si>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</si>
  <si>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</si>
  <si>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</si>
  <si>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</si>
  <si>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</si>
  <si>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</si>
  <si>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</si>
  <si>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</si>
  <si>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</si>
  <si>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</si>
  <si>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</si>
  <si>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</si>
  <si>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</si>
  <si>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</si>
  <si>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</si>
  <si>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</si>
  <si>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</si>
  <si>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</si>
  <si>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</si>
  <si>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</si>
  <si>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</si>
  <si>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</si>
  <si>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</si>
  <si>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</si>
  <si>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</si>
  <si>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</si>
  <si>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</si>
  <si>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</si>
  <si>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</si>
  <si>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</si>
  <si>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</si>
  <si>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</si>
  <si>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</si>
  <si>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</si>
  <si>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</si>
  <si>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</si>
  <si>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</si>
  <si>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</si>
  <si>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</si>
  <si>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</si>
  <si>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</si>
  <si>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</si>
  <si>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</si>
  <si>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</si>
  <si>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</si>
  <si>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</si>
  <si>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</si>
  <si>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</si>
  <si>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</si>
  <si>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</si>
  <si>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</si>
  <si>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</si>
  <si>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</si>
  <si>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</si>
  <si>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</si>
  <si>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</si>
  <si>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</si>
  <si>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</si>
  <si>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</si>
  <si>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</si>
  <si>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</si>
  <si>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</si>
  <si>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</si>
  <si>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</si>
  <si>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</si>
  <si>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</si>
  <si>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</si>
  <si>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</si>
  <si>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</si>
  <si>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</si>
  <si>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</si>
  <si>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</si>
  <si>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</si>
  <si>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</si>
  <si>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</si>
  <si>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</si>
  <si>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</si>
  <si>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</si>
  <si>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</si>
  <si>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</si>
  <si>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</si>
  <si>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</si>
  <si>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</si>
  <si>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</si>
  <si>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</si>
  <si>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</si>
  <si>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</si>
  <si>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</si>
  <si>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</si>
  <si>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</si>
  <si>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</si>
  <si>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</si>
  <si>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</si>
  <si>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</si>
  <si>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</si>
  <si>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</si>
  <si>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</si>
  <si>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</si>
  <si>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</si>
  <si>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</si>
  <si>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</si>
  <si>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</si>
  <si>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</si>
  <si>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</si>
  <si>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</si>
  <si>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</si>
  <si>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</si>
  <si>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</si>
  <si>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</si>
  <si>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</si>
  <si>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</si>
  <si>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</si>
  <si>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</si>
  <si>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</si>
  <si>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</si>
  <si>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</si>
  <si>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</si>
  <si>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</si>
  <si>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</si>
  <si>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</si>
  <si>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</si>
  <si>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</si>
  <si>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</si>
  <si>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</si>
  <si>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</si>
  <si>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</si>
  <si>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</si>
  <si>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</si>
  <si>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</si>
  <si>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</si>
  <si>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</si>
  <si>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</si>
  <si>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</si>
  <si>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</si>
  <si>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</si>
  <si>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</si>
  <si>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</si>
  <si>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</si>
  <si>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</si>
  <si>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</si>
  <si>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</si>
  <si>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</si>
  <si>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</si>
  <si>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</si>
  <si>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</si>
  <si>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</si>
  <si>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</si>
  <si>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</si>
  <si>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</si>
  <si>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</si>
  <si>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</si>
  <si>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</si>
  <si>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</si>
  <si>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</si>
  <si>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</si>
  <si>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</si>
  <si>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</si>
  <si>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</si>
  <si>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</si>
  <si>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</si>
  <si>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</si>
  <si>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</si>
  <si>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</si>
  <si>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</si>
  <si>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</si>
  <si>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</si>
  <si>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</si>
  <si>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</si>
  <si>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</si>
  <si>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</si>
  <si>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</si>
  <si>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</si>
  <si>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</si>
  <si>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</si>
  <si>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</si>
  <si>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</si>
  <si>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</si>
  <si>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</si>
  <si>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</si>
  <si>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</si>
  <si>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</si>
  <si>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</si>
  <si>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</si>
  <si>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</si>
  <si>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</si>
  <si>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</si>
  <si>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</si>
  <si>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</si>
  <si>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</si>
  <si>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</si>
  <si>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</si>
  <si>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</si>
  <si>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</si>
  <si>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</si>
  <si>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</si>
  <si>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</si>
  <si>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</si>
  <si>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</si>
  <si>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</si>
  <si>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</si>
  <si>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</si>
  <si>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</si>
  <si>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</si>
  <si>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</si>
  <si>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</si>
  <si>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</si>
  <si>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</si>
  <si>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</si>
  <si>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</si>
  <si>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</si>
  <si>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</si>
  <si>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</si>
  <si>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</si>
  <si>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</si>
  <si>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</si>
  <si>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</si>
  <si>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</si>
  <si>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</si>
  <si>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</si>
  <si>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</si>
  <si>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</si>
  <si>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</si>
  <si>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</si>
  <si>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</si>
  <si>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</si>
  <si>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</si>
  <si>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</si>
  <si>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BIZKAIA</t>
  </si>
  <si>
    <t>Resumenes por Partidos Judiciales</t>
  </si>
  <si>
    <t>GERNIKA-LUMO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</si>
</sst>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vEghX83kVdwUK2zheLdKVNPmySoy+mZooKj/2ZfO4839NBSQRYeI1uLtAhBRruCb4oWETOLdhZvxi+ah0JpHQ==" saltValue="Z3SqhU0+shuPnqLb3qmAV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25</v>
      </c>
      <c r="D10" s="225">
        <f>IF(ISNUMBER(Datos!I10),Datos!I10," - ")</f>
        <v>35</v>
      </c>
      <c r="E10" s="226">
        <f>IF(ISNUMBER(Datos!J10),Datos!J10," - ")</f>
        <v>20</v>
      </c>
      <c r="F10" s="226">
        <f>IF(ISNUMBER(Datos!K10),Datos!K10," - ")</f>
        <v>22</v>
      </c>
      <c r="G10" s="1034" t="str">
        <f>IF(Datos!E10&lt;&gt;"",Datos!E10,Datos!D10)</f>
        <v>37</v>
      </c>
      <c r="H10" s="227">
        <f>IF(ISNUMBER(Datos!L10),Datos!L10," - ")</f>
        <v>23</v>
      </c>
      <c r="I10" s="1044" t="str">
        <f>IF(ISNUMBER(Datos!AS10/Datos!BM10),Datos!AS10/Datos!BM10," - ")</f>
        <v xml:space="preserve"> - </v>
      </c>
      <c r="J10" s="1045">
        <f>IF(ISNUMBER(Datos!BY10/Datos!CN10),Datos!BY10/Datos!CN10," - ")</f>
        <v>0</v>
      </c>
      <c r="K10" s="230">
        <f t="shared" ref="K10:K12" si="1">IF(ISNUMBER((E10-F10)/C10),(E10-F10)/C10," - ")</f>
        <v>-0.08</v>
      </c>
      <c r="L10" s="1025">
        <f>IF(ISNUMBER(NºAsuntos!I10/NºAsuntos!G10),(NºAsuntos!I10/NºAsuntos!G10)*11," - ")</f>
        <v>11.5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4.9946174548250672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25</v>
      </c>
      <c r="D13" s="1049">
        <f>SUBTOTAL(9,D9:D12)</f>
        <v>35</v>
      </c>
      <c r="E13" s="1050">
        <f>SUBTOTAL(9,E9:E12)</f>
        <v>20</v>
      </c>
      <c r="F13" s="1051">
        <f>SUBTOTAL(9,F9:F12)</f>
        <v>22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955</v>
      </c>
      <c r="D16" s="225">
        <f>IF(ISNUMBER(IF(D_I="SI",Datos!I16,Datos!I16+Datos!AC16)),IF(D_I="SI",Datos!I16,Datos!I16+Datos!AC16)," - ")</f>
        <v>1066</v>
      </c>
      <c r="E16" s="226">
        <f>IF(ISNUMBER(IF(D_I="SI",Datos!J16,Datos!J16+Datos!AD16)),IF(D_I="SI",Datos!J16,Datos!J16+Datos!AD16)," - ")</f>
        <v>2234</v>
      </c>
      <c r="F16" s="226">
        <f>IF(ISNUMBER(IF(D_I="SI",Datos!K16,Datos!K16+Datos!AE16)),IF(D_I="SI",Datos!K16,Datos!K16+Datos!AE16)," - ")</f>
        <v>2269</v>
      </c>
      <c r="G16" s="1034" t="str">
        <f>IF(Datos!E16&lt;&gt;"",Datos!E16,Datos!D16)</f>
        <v>04</v>
      </c>
      <c r="H16" s="227">
        <f>IF(ISNUMBER(IF(D_I="SI",Datos!L16,Datos!L16+Datos!AF16)),IF(D_I="SI",Datos!L16,Datos!L16+Datos!AF16)," - ")</f>
        <v>920</v>
      </c>
      <c r="I16" s="1044" t="str">
        <f>IF(ISNUMBER(Datos!AS16/Datos!BM16),Datos!AS16/Datos!BM16," - ")</f>
        <v xml:space="preserve"> - </v>
      </c>
      <c r="J16" s="1045">
        <f>IF(ISNUMBER(Datos!BY16/Datos!CN16),Datos!BY16/Datos!CN16," - ")</f>
        <v>0</v>
      </c>
      <c r="K16" s="230">
        <f t="shared" si="3"/>
        <v>-3.6649214659685861E-2</v>
      </c>
      <c r="L16" s="1025">
        <f>IF(ISNUMBER(NºAsuntos!I16/NºAsuntos!G16),(NºAsuntos!I16/NºAsuntos!G16)*11," - ")</f>
        <v>4.4601145879241955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45</v>
      </c>
      <c r="D17" s="225">
        <f>IF(ISNUMBER(IF(D_I="SI",Datos!I17,Datos!I17+Datos!AC17)),IF(D_I="SI",Datos!I17,Datos!I17+Datos!AC17)," - ")</f>
        <v>110</v>
      </c>
      <c r="E17" s="226">
        <f>IF(ISNUMBER(IF(D_I="SI",Datos!J17,Datos!J17+Datos!AD17)),IF(D_I="SI",Datos!J17,Datos!J17+Datos!AD17)," - ")</f>
        <v>247</v>
      </c>
      <c r="F17" s="226">
        <f>IF(ISNUMBER(IF(D_I="SI",Datos!K17,Datos!K17+Datos!AE17)),IF(D_I="SI",Datos!K17,Datos!K17+Datos!AE17)," - ")</f>
        <v>218</v>
      </c>
      <c r="G17" s="1034" t="str">
        <f>IF(Datos!E17&lt;&gt;"",Datos!E17,Datos!D17)</f>
        <v>37</v>
      </c>
      <c r="H17" s="227">
        <f>IF(ISNUMBER(IF(D_I="SI",Datos!L17,Datos!L17+Datos!AF17)),IF(D_I="SI",Datos!L17,Datos!L17+Datos!AF17)," - ")</f>
        <v>74</v>
      </c>
      <c r="I17" s="1044" t="str">
        <f>IF(ISNUMBER(Datos!AS17/Datos!BM17),Datos!AS17/Datos!BM17," - ")</f>
        <v xml:space="preserve"> - </v>
      </c>
      <c r="J17" s="1045" t="str">
        <f>IF(ISNUMBER((Datos!BY17+Datos!BZ17)/Datos!CN17),(Datos!BY17+Datos!BZ17)/Datos!CN17," - ")</f>
        <v xml:space="preserve"> - </v>
      </c>
      <c r="K17" s="230">
        <f t="shared" si="3"/>
        <v>0.64444444444444449</v>
      </c>
      <c r="L17" s="1025">
        <f>IF(ISNUMBER(NºAsuntos!I17/NºAsuntos!G17),(NºAsuntos!I17/NºAsuntos!G17)*11," - ")</f>
        <v>3.7339449541284404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1000</v>
      </c>
      <c r="D18" s="1049">
        <f>SUBTOTAL(9,D15:D17)</f>
        <v>1176</v>
      </c>
      <c r="E18" s="1050">
        <f>SUBTOTAL(9,E15:E17)</f>
        <v>2481</v>
      </c>
      <c r="F18" s="1050">
        <f>SUBTOTAL(9,F15:F17)</f>
        <v>2487</v>
      </c>
      <c r="G18" s="1052" t="str">
        <f ca="1">INDIRECT(CONCATENATE("G",ROW()-1))</f>
        <v>37</v>
      </c>
      <c r="H18" s="1053">
        <f ca="1">SUMIF(G$14:G17,G18,H$14:H17)</f>
        <v>74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1025</v>
      </c>
      <c r="D19" s="1071">
        <f>SUBTOTAL(9,D9:D18)</f>
        <v>1211</v>
      </c>
      <c r="E19" s="1072">
        <f>SUBTOTAL(9,E9:E18)</f>
        <v>2501</v>
      </c>
      <c r="F19" s="1072">
        <f>SUBTOTAL(9,F9:F18)</f>
        <v>2509</v>
      </c>
      <c r="G19" s="1073"/>
      <c r="H19" s="1074">
        <f ca="1">SUMIF(B9:B18,"TOTAL",H9:H18)</f>
        <v>74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mtVMmE8Khaaq2FU5isy0bYQtDqoqYX4fPpkFy+Eyd8i0h8SjB4TjlvZi7hcPu5/8ZwcIT4mhZTO+FYd5n8Fyg==" saltValue="EqFccTx72E014C0bcu1Ou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84XJ/Np0FCNqt3yXt3lKVc62Msil88Gt4dALJ3ufKqTcshT8wQE1v8hwjPTYoJRuF3Oi5AeGrOBlCxtHiRXVw==" saltValue="OIVZgOMYwWvNxZgqyuRQZ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35</v>
      </c>
      <c r="J10" s="181">
        <v>20</v>
      </c>
      <c r="K10" s="181">
        <v>22</v>
      </c>
      <c r="L10" s="181">
        <v>23</v>
      </c>
      <c r="M10" s="181">
        <v>12</v>
      </c>
      <c r="N10" s="181">
        <v>8</v>
      </c>
      <c r="O10" s="181">
        <v>0</v>
      </c>
      <c r="P10" s="181">
        <v>6</v>
      </c>
      <c r="Q10" s="181">
        <v>18</v>
      </c>
      <c r="R10" s="181">
        <v>5</v>
      </c>
      <c r="S10" s="181">
        <v>24</v>
      </c>
      <c r="T10" s="181">
        <v>43</v>
      </c>
      <c r="U10" s="181">
        <v>32</v>
      </c>
      <c r="V10" s="181">
        <v>35</v>
      </c>
      <c r="W10" s="181">
        <v>14</v>
      </c>
      <c r="X10" s="188">
        <v>14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24</v>
      </c>
      <c r="AZ10" s="129">
        <f t="shared" si="0"/>
        <v>43</v>
      </c>
      <c r="BA10" s="129">
        <f t="shared" si="0"/>
        <v>32</v>
      </c>
      <c r="BB10" s="129">
        <f t="shared" si="0"/>
        <v>35</v>
      </c>
      <c r="BC10" s="125">
        <f t="shared" si="0"/>
        <v>14</v>
      </c>
      <c r="BD10" s="126">
        <f>IF(ISNUMBER(BA10/AZ10),BA10/AZ10," - ")</f>
        <v>0.7441860465116279</v>
      </c>
      <c r="BE10" s="127">
        <f>IF(ISNUMBER(BB10/BA10),BB10/BA10, " - ")</f>
        <v>1.09375</v>
      </c>
      <c r="BF10" s="127">
        <f>IF(ISNUMBER(BC10/BA10),BC10/BA10, " - ")</f>
        <v>0.4375</v>
      </c>
      <c r="BG10" s="196">
        <f>IF(ISNUMBER((AY10+AZ10)/BA10),(AY10+AZ10)/BA10," - ")</f>
        <v>2.09375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999</v>
      </c>
      <c r="J12" s="183">
        <v>2343</v>
      </c>
      <c r="K12" s="183">
        <v>2327</v>
      </c>
      <c r="L12" s="183">
        <v>1015</v>
      </c>
      <c r="M12" s="183">
        <v>635</v>
      </c>
      <c r="N12" s="183">
        <v>1078</v>
      </c>
      <c r="O12" s="181">
        <v>808</v>
      </c>
      <c r="P12" s="183">
        <v>432</v>
      </c>
      <c r="Q12" s="183">
        <v>470</v>
      </c>
      <c r="R12" s="183">
        <v>1739</v>
      </c>
      <c r="S12" s="183">
        <v>995</v>
      </c>
      <c r="T12" s="183">
        <v>1832</v>
      </c>
      <c r="U12" s="183">
        <v>1818</v>
      </c>
      <c r="V12" s="183">
        <v>999</v>
      </c>
      <c r="W12" s="183">
        <v>488</v>
      </c>
      <c r="X12" s="189">
        <v>847</v>
      </c>
      <c r="Y12" s="191">
        <v>200</v>
      </c>
      <c r="Z12" s="181">
        <v>240</v>
      </c>
      <c r="AA12" s="181">
        <v>274</v>
      </c>
      <c r="AB12" s="181">
        <v>166</v>
      </c>
      <c r="AC12" s="183">
        <v>0</v>
      </c>
      <c r="AD12" s="183">
        <v>0</v>
      </c>
      <c r="AE12" s="183">
        <v>0</v>
      </c>
      <c r="AF12" s="189">
        <v>0</v>
      </c>
      <c r="AG12" s="202">
        <v>220</v>
      </c>
      <c r="AH12" s="183">
        <v>337</v>
      </c>
      <c r="AI12" s="183">
        <v>357</v>
      </c>
      <c r="AJ12" s="203">
        <v>200</v>
      </c>
      <c r="AK12" s="182">
        <v>0</v>
      </c>
      <c r="AL12" s="183">
        <v>0</v>
      </c>
      <c r="AM12" s="183">
        <v>0</v>
      </c>
      <c r="AN12" s="189">
        <v>0</v>
      </c>
      <c r="AO12" s="259">
        <v>4</v>
      </c>
      <c r="AP12" s="155">
        <v>4</v>
      </c>
      <c r="AQ12" s="155">
        <v>4</v>
      </c>
      <c r="AR12" s="154">
        <v>4</v>
      </c>
      <c r="AS12" s="340" t="s">
        <v>802</v>
      </c>
      <c r="AT12" s="203"/>
      <c r="AU12" s="202"/>
      <c r="AV12" s="203"/>
      <c r="AW12" s="202"/>
      <c r="AX12" s="203"/>
      <c r="AY12" s="126">
        <f t="shared" si="1"/>
        <v>1215</v>
      </c>
      <c r="AZ12" s="127">
        <f t="shared" si="1"/>
        <v>2169</v>
      </c>
      <c r="BA12" s="127">
        <f t="shared" si="1"/>
        <v>2175</v>
      </c>
      <c r="BB12" s="127">
        <f t="shared" si="1"/>
        <v>1199</v>
      </c>
      <c r="BC12" s="125">
        <f>IF(ISNUMBER(X12),X12," - ")</f>
        <v>847</v>
      </c>
      <c r="BD12" s="126">
        <f t="shared" si="2"/>
        <v>1.0027662517289073</v>
      </c>
      <c r="BE12" s="127">
        <f t="shared" si="3"/>
        <v>0.551264367816092</v>
      </c>
      <c r="BF12" s="127">
        <f t="shared" si="4"/>
        <v>0.38942528735632181</v>
      </c>
      <c r="BG12" s="196">
        <f t="shared" si="5"/>
        <v>1.5558620689655172</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1034</v>
      </c>
      <c r="J13" s="184">
        <f t="shared" si="6"/>
        <v>2363</v>
      </c>
      <c r="K13" s="184">
        <f t="shared" si="6"/>
        <v>2349</v>
      </c>
      <c r="L13" s="184">
        <f t="shared" si="6"/>
        <v>1038</v>
      </c>
      <c r="M13" s="184">
        <f t="shared" si="6"/>
        <v>647</v>
      </c>
      <c r="N13" s="184">
        <f t="shared" si="6"/>
        <v>1086</v>
      </c>
      <c r="O13" s="184">
        <f t="shared" si="6"/>
        <v>808</v>
      </c>
      <c r="P13" s="184">
        <f t="shared" si="6"/>
        <v>438</v>
      </c>
      <c r="Q13" s="184">
        <f t="shared" si="6"/>
        <v>488</v>
      </c>
      <c r="R13" s="184">
        <f t="shared" si="6"/>
        <v>1744</v>
      </c>
      <c r="S13" s="184">
        <f t="shared" si="6"/>
        <v>1019</v>
      </c>
      <c r="T13" s="184">
        <f t="shared" si="6"/>
        <v>1875</v>
      </c>
      <c r="U13" s="184">
        <f t="shared" si="6"/>
        <v>1850</v>
      </c>
      <c r="V13" s="184">
        <f t="shared" si="6"/>
        <v>1034</v>
      </c>
      <c r="W13" s="184">
        <f t="shared" si="6"/>
        <v>502</v>
      </c>
      <c r="X13" s="184">
        <f t="shared" si="6"/>
        <v>861</v>
      </c>
      <c r="Y13" s="184">
        <f t="shared" si="6"/>
        <v>200</v>
      </c>
      <c r="Z13" s="184">
        <f t="shared" si="6"/>
        <v>240</v>
      </c>
      <c r="AA13" s="184">
        <f t="shared" si="6"/>
        <v>274</v>
      </c>
      <c r="AB13" s="184">
        <f t="shared" si="6"/>
        <v>166</v>
      </c>
      <c r="AC13" s="184">
        <f t="shared" si="6"/>
        <v>0</v>
      </c>
      <c r="AD13" s="184">
        <f t="shared" si="6"/>
        <v>0</v>
      </c>
      <c r="AE13" s="184">
        <f t="shared" si="6"/>
        <v>0</v>
      </c>
      <c r="AF13" s="184">
        <f>SUBTOTAL(9,AF9:AF12)</f>
        <v>0</v>
      </c>
      <c r="AG13" s="184">
        <f t="shared" ref="AG13:AT13" si="7">SUBTOTAL(9,AG8:AG12)</f>
        <v>220</v>
      </c>
      <c r="AH13" s="184">
        <f t="shared" si="7"/>
        <v>337</v>
      </c>
      <c r="AI13" s="184">
        <f t="shared" si="7"/>
        <v>357</v>
      </c>
      <c r="AJ13" s="184">
        <f t="shared" si="7"/>
        <v>200</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1239</v>
      </c>
      <c r="AZ13" s="184">
        <f>SUBTOTAL(9,AZ8:AZ12)</f>
        <v>2212</v>
      </c>
      <c r="BA13" s="184">
        <f>SUBTOTAL(9,BA8:BA12)</f>
        <v>2207</v>
      </c>
      <c r="BB13" s="184">
        <f>SUBTOTAL(9,BB8:BB12)</f>
        <v>1234</v>
      </c>
      <c r="BC13" s="184">
        <f>SUBTOTAL(9,BC8:BC12)</f>
        <v>861</v>
      </c>
      <c r="BD13" s="205">
        <f>IF(ISNUMBER(BA13/AZ13),BA13/AZ13," - ")</f>
        <v>0.99773960216998192</v>
      </c>
      <c r="BE13" s="206">
        <f>IF(ISNUMBER(BB13/BA13),BB13/BA13, " - ")</f>
        <v>0.55913004077933848</v>
      </c>
      <c r="BF13" s="206">
        <f>IF(ISNUMBER(BC13/BA13),BC13/BA13, " - ")</f>
        <v>0.39012233801540552</v>
      </c>
      <c r="BG13" s="207">
        <f>IF(ISNUMBER((AY13+AZ13)/BA13),(AY13+AZ13)/BA13," - ")</f>
        <v>1.5636610783869507</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1066</v>
      </c>
      <c r="J16" s="183">
        <v>2234</v>
      </c>
      <c r="K16" s="183">
        <v>2269</v>
      </c>
      <c r="L16" s="183">
        <v>920</v>
      </c>
      <c r="M16" s="183">
        <v>533</v>
      </c>
      <c r="N16" s="183">
        <v>1005</v>
      </c>
      <c r="O16" s="181">
        <v>0</v>
      </c>
      <c r="P16" s="183">
        <v>114</v>
      </c>
      <c r="Q16" s="183">
        <v>71</v>
      </c>
      <c r="R16" s="183">
        <v>267</v>
      </c>
      <c r="S16" s="183">
        <v>827</v>
      </c>
      <c r="T16" s="183">
        <v>1784</v>
      </c>
      <c r="U16" s="183">
        <v>1559</v>
      </c>
      <c r="V16" s="183">
        <v>1066</v>
      </c>
      <c r="W16" s="183">
        <v>370</v>
      </c>
      <c r="X16" s="189">
        <v>754</v>
      </c>
      <c r="Y16" s="202">
        <v>0</v>
      </c>
      <c r="Z16" s="183">
        <v>0</v>
      </c>
      <c r="AA16" s="183">
        <v>0</v>
      </c>
      <c r="AB16" s="183">
        <v>0</v>
      </c>
      <c r="AC16" s="183">
        <v>0</v>
      </c>
      <c r="AD16" s="183">
        <v>0</v>
      </c>
      <c r="AE16" s="183">
        <v>0</v>
      </c>
      <c r="AF16" s="189">
        <v>0</v>
      </c>
      <c r="AG16" s="202">
        <v>0</v>
      </c>
      <c r="AH16" s="183">
        <v>0</v>
      </c>
      <c r="AI16" s="183">
        <v>0</v>
      </c>
      <c r="AJ16" s="203">
        <v>0</v>
      </c>
      <c r="AK16" s="182">
        <v>1</v>
      </c>
      <c r="AL16" s="183">
        <v>4</v>
      </c>
      <c r="AM16" s="183">
        <v>5</v>
      </c>
      <c r="AN16" s="189">
        <v>0</v>
      </c>
      <c r="AO16" s="259">
        <v>4</v>
      </c>
      <c r="AP16" s="155">
        <v>4</v>
      </c>
      <c r="AQ16" s="155">
        <v>4</v>
      </c>
      <c r="AR16" s="155">
        <v>4</v>
      </c>
      <c r="AS16" s="340" t="s">
        <v>487</v>
      </c>
      <c r="AT16" s="203"/>
      <c r="AU16" s="202"/>
      <c r="AV16" s="203"/>
      <c r="AW16" s="202"/>
      <c r="AX16" s="203"/>
      <c r="AY16" s="126">
        <f t="shared" si="9"/>
        <v>827</v>
      </c>
      <c r="AZ16" s="127">
        <f t="shared" si="9"/>
        <v>1784</v>
      </c>
      <c r="BA16" s="127">
        <f t="shared" si="9"/>
        <v>1559</v>
      </c>
      <c r="BB16" s="127">
        <f t="shared" si="9"/>
        <v>1066</v>
      </c>
      <c r="BC16" s="125">
        <f>IF(ISNUMBER(W16),W16," - ")</f>
        <v>370</v>
      </c>
      <c r="BD16" s="126">
        <f t="shared" ref="BD16" si="11">IF(ISNUMBER(BA16/AZ16),BA16/AZ16," - ")</f>
        <v>0.8738789237668162</v>
      </c>
      <c r="BE16" s="127">
        <f t="shared" ref="BE16" si="12">IF(ISNUMBER(BB16/BA16),BB16/BA16, " - ")</f>
        <v>0.68377164849262351</v>
      </c>
      <c r="BF16" s="127">
        <f t="shared" ref="BF16" si="13">IF(ISNUMBER(BC16/BA16),BC16/BA16, " - ")</f>
        <v>0.23733162283515075</v>
      </c>
      <c r="BG16" s="196">
        <f t="shared" si="10"/>
        <v>1.6747915330339962</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110</v>
      </c>
      <c r="J17" s="183">
        <v>247</v>
      </c>
      <c r="K17" s="183">
        <v>218</v>
      </c>
      <c r="L17" s="183">
        <v>74</v>
      </c>
      <c r="M17" s="183">
        <v>46</v>
      </c>
      <c r="N17" s="183">
        <v>95</v>
      </c>
      <c r="O17" s="183">
        <v>0</v>
      </c>
      <c r="P17" s="183">
        <v>1</v>
      </c>
      <c r="Q17" s="183">
        <v>20</v>
      </c>
      <c r="R17" s="183">
        <v>6</v>
      </c>
      <c r="S17" s="183">
        <v>88</v>
      </c>
      <c r="T17" s="183">
        <v>209</v>
      </c>
      <c r="U17" s="183">
        <v>187</v>
      </c>
      <c r="V17" s="183">
        <v>110</v>
      </c>
      <c r="W17" s="183">
        <v>35</v>
      </c>
      <c r="X17" s="189">
        <v>94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88</v>
      </c>
      <c r="AZ17" s="129">
        <f t="shared" si="14"/>
        <v>209</v>
      </c>
      <c r="BA17" s="129">
        <f t="shared" si="14"/>
        <v>187</v>
      </c>
      <c r="BB17" s="129">
        <f t="shared" si="14"/>
        <v>110</v>
      </c>
      <c r="BC17" s="125">
        <f>IF(ISNUMBER(W17),W17," - ")</f>
        <v>35</v>
      </c>
      <c r="BD17" s="126">
        <f>IF(ISNUMBER(BA17/AZ17),BA17/AZ17," - ")</f>
        <v>0.89473684210526316</v>
      </c>
      <c r="BE17" s="127">
        <f>IF(ISNUMBER(BB17/BA17),BB17/BA17, " - ")</f>
        <v>0.58823529411764708</v>
      </c>
      <c r="BF17" s="127">
        <f>IF(ISNUMBER(BC17/BA17),BC17/BA17, " - ")</f>
        <v>0.18716577540106952</v>
      </c>
      <c r="BG17" s="196">
        <f>IF(ISNUMBER((AY17+AZ17)/BA17),(AY17+AZ17)/BA17," - ")</f>
        <v>1.588235294117647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1176</v>
      </c>
      <c r="J18" s="184">
        <f t="shared" si="15"/>
        <v>2481</v>
      </c>
      <c r="K18" s="184">
        <f t="shared" si="15"/>
        <v>2487</v>
      </c>
      <c r="L18" s="184">
        <f t="shared" si="15"/>
        <v>994</v>
      </c>
      <c r="M18" s="184">
        <f t="shared" si="15"/>
        <v>579</v>
      </c>
      <c r="N18" s="184">
        <f t="shared" si="15"/>
        <v>1100</v>
      </c>
      <c r="O18" s="184">
        <f t="shared" si="15"/>
        <v>0</v>
      </c>
      <c r="P18" s="184">
        <f t="shared" si="15"/>
        <v>115</v>
      </c>
      <c r="Q18" s="184">
        <f t="shared" si="15"/>
        <v>91</v>
      </c>
      <c r="R18" s="184">
        <f t="shared" si="15"/>
        <v>273</v>
      </c>
      <c r="S18" s="184">
        <f t="shared" si="15"/>
        <v>915</v>
      </c>
      <c r="T18" s="184">
        <f t="shared" si="15"/>
        <v>1993</v>
      </c>
      <c r="U18" s="184">
        <f t="shared" si="15"/>
        <v>1746</v>
      </c>
      <c r="V18" s="184">
        <f t="shared" si="15"/>
        <v>1176</v>
      </c>
      <c r="W18" s="184">
        <f t="shared" si="15"/>
        <v>405</v>
      </c>
      <c r="X18" s="184">
        <f t="shared" si="15"/>
        <v>848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4</v>
      </c>
      <c r="AM18" s="184">
        <f t="shared" si="15"/>
        <v>5</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915</v>
      </c>
      <c r="AZ18" s="184">
        <f>SUBTOTAL(9,AZ14:AZ17)</f>
        <v>1993</v>
      </c>
      <c r="BA18" s="184">
        <f>SUBTOTAL(9,BA14:BA17)</f>
        <v>1746</v>
      </c>
      <c r="BB18" s="184">
        <f>SUBTOTAL(9,BB14:BB17)</f>
        <v>1176</v>
      </c>
      <c r="BC18" s="184">
        <f>SUBTOTAL(9,BC14:BC17)</f>
        <v>405</v>
      </c>
      <c r="BD18" s="205">
        <f>IF(ISNUMBER(BA18/AZ18),BA18/AZ18," - ")</f>
        <v>0.87606623181133969</v>
      </c>
      <c r="BE18" s="206">
        <f>IF(ISNUMBER(BB18/BA18),BB18/BA18, " - ")</f>
        <v>0.67353951890034369</v>
      </c>
      <c r="BF18" s="206">
        <f>IF(ISNUMBER(BC18/BA18),BC18/BA18, " - ")</f>
        <v>0.23195876288659795</v>
      </c>
      <c r="BG18" s="207">
        <f>IF(ISNUMBER((AY18+AZ18)/BA18),(AY18+AZ18)/BA18," - ")</f>
        <v>1.6655211912943872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2210</v>
      </c>
      <c r="J19" s="134">
        <f t="shared" si="18"/>
        <v>4844</v>
      </c>
      <c r="K19" s="134">
        <f t="shared" si="18"/>
        <v>4836</v>
      </c>
      <c r="L19" s="134">
        <f t="shared" si="18"/>
        <v>2032</v>
      </c>
      <c r="M19" s="134">
        <f t="shared" si="18"/>
        <v>1226</v>
      </c>
      <c r="N19" s="134">
        <f t="shared" si="18"/>
        <v>2186</v>
      </c>
      <c r="O19" s="134">
        <f t="shared" si="18"/>
        <v>808</v>
      </c>
      <c r="P19" s="134">
        <f t="shared" si="18"/>
        <v>553</v>
      </c>
      <c r="Q19" s="134">
        <f t="shared" si="18"/>
        <v>579</v>
      </c>
      <c r="R19" s="134">
        <f t="shared" si="18"/>
        <v>2017</v>
      </c>
      <c r="S19" s="134">
        <f t="shared" si="18"/>
        <v>1934</v>
      </c>
      <c r="T19" s="134">
        <f t="shared" si="18"/>
        <v>3868</v>
      </c>
      <c r="U19" s="134">
        <f t="shared" si="18"/>
        <v>3596</v>
      </c>
      <c r="V19" s="134">
        <f t="shared" si="18"/>
        <v>2210</v>
      </c>
      <c r="W19" s="134">
        <f t="shared" si="18"/>
        <v>907</v>
      </c>
      <c r="X19" s="134">
        <f t="shared" si="18"/>
        <v>1709</v>
      </c>
      <c r="Y19" s="134">
        <f t="shared" si="18"/>
        <v>200</v>
      </c>
      <c r="Z19" s="134">
        <f t="shared" si="18"/>
        <v>240</v>
      </c>
      <c r="AA19" s="134">
        <f t="shared" si="18"/>
        <v>274</v>
      </c>
      <c r="AB19" s="134">
        <f t="shared" si="18"/>
        <v>166</v>
      </c>
      <c r="AC19" s="134">
        <f t="shared" si="18"/>
        <v>0</v>
      </c>
      <c r="AD19" s="134">
        <f t="shared" si="18"/>
        <v>0</v>
      </c>
      <c r="AE19" s="134">
        <f t="shared" si="18"/>
        <v>0</v>
      </c>
      <c r="AF19" s="134">
        <f t="shared" si="18"/>
        <v>0</v>
      </c>
      <c r="AG19" s="134">
        <f t="shared" si="18"/>
        <v>220</v>
      </c>
      <c r="AH19" s="134">
        <f t="shared" si="18"/>
        <v>337</v>
      </c>
      <c r="AI19" s="134">
        <f t="shared" si="18"/>
        <v>357</v>
      </c>
      <c r="AJ19" s="134">
        <f t="shared" si="18"/>
        <v>200</v>
      </c>
      <c r="AK19" s="134">
        <f t="shared" si="18"/>
        <v>1</v>
      </c>
      <c r="AL19" s="134">
        <f t="shared" si="18"/>
        <v>4</v>
      </c>
      <c r="AM19" s="134">
        <f t="shared" si="18"/>
        <v>5</v>
      </c>
      <c r="AN19" s="210">
        <f t="shared" si="18"/>
        <v>0</v>
      </c>
      <c r="AO19" s="211">
        <v>5</v>
      </c>
      <c r="AP19" s="211">
        <v>4</v>
      </c>
      <c r="AQ19" s="211">
        <v>4</v>
      </c>
      <c r="AR19" s="211">
        <v>4</v>
      </c>
      <c r="AS19" s="153">
        <f t="shared" si="18"/>
        <v>0</v>
      </c>
      <c r="AT19" s="153">
        <f t="shared" si="18"/>
        <v>0</v>
      </c>
      <c r="AU19" s="211"/>
      <c r="AV19" s="212"/>
      <c r="AW19" s="211"/>
      <c r="AX19" s="212"/>
      <c r="AY19" s="133">
        <f>SUBTOTAL(9,AY9:AY18)</f>
        <v>2154</v>
      </c>
      <c r="AZ19" s="134">
        <f>SUBTOTAL(9,AZ9:AZ18)</f>
        <v>4205</v>
      </c>
      <c r="BA19" s="134">
        <f>SUBTOTAL(9,BA9:BA18)</f>
        <v>3953</v>
      </c>
      <c r="BB19" s="134">
        <f>SUBTOTAL(9,BB9:BB18)</f>
        <v>2410</v>
      </c>
      <c r="BC19" s="135">
        <f>SUBTOTAL(9,BC9:BC18)</f>
        <v>1266</v>
      </c>
      <c r="BD19" s="213">
        <f>IF(ISNUMBER(BA19/AZ19),BA19/AZ19," - ")</f>
        <v>0.94007134363852551</v>
      </c>
      <c r="BE19" s="210">
        <f>IF(ISNUMBER(BB19/BA19),BB19/BA19, " - ")</f>
        <v>0.6096635466734126</v>
      </c>
      <c r="BF19" s="210">
        <f>IF(ISNUMBER(BC19/BA19),BC19/BA19, " - ")</f>
        <v>0.32026309132304581</v>
      </c>
      <c r="BG19" s="135">
        <f>IF(ISNUMBER((AY19+AZ19)/BA19),(AY19+AZ19)/BA19," - ")</f>
        <v>1.6086516569693903</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9bZ+Thf8UWOY6a4oJtuOUXo/LT36aVDhtS9g9uFyz5ROMv8ltgNMF/VctNu6P296qb2xyyqKJeagkFd7TU0hA==" saltValue="Tj5OBBF6ltT3BTPlWdSM0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g4IzRHiWWUzLFBpBgnwe/wLwvU2qB57ixUWsPvb+02DJjs3SdXbpFOGKa8p8vg01JkBqrVB7Mx056LbrYliAQ==" saltValue="GWI+HJRrftbVyWe4ac4xV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GERNIKA-LUMO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25</v>
      </c>
      <c r="G10" s="333">
        <f>IF(ISNUMBER(Datos!I10),Datos!I10," - ")</f>
        <v>35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22</v>
      </c>
      <c r="AC10" s="226">
        <f>IF(ISNUMBER(Datos!Q10),Datos!Q10," - ")</f>
        <v>18</v>
      </c>
      <c r="AD10" s="334"/>
      <c r="AE10" s="484"/>
      <c r="AF10" s="332">
        <f>IF(ISNUMBER(Datos!L10),Datos!L10,"-")</f>
        <v>23</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8</v>
      </c>
      <c r="BE10" s="229" t="str">
        <f>IF(ISNUMBER(Datos!BW10),Datos!BW10," - ")</f>
        <v xml:space="preserve"> - </v>
      </c>
      <c r="BF10" s="228" t="str">
        <f>IF(ISNUMBER(Datos!BX10),Datos!BX10," - ")</f>
        <v xml:space="preserve"> - </v>
      </c>
      <c r="BG10" s="243">
        <f>IF(ISNUMBER(Datos!K10/Datos!J10),Datos!K10/Datos!J10," - ")</f>
        <v>1.1000000000000001</v>
      </c>
      <c r="BH10" s="260">
        <f>IF(ISNUMBER(((Datos!L10/Datos!K10)*11)/factor_trimestre),((Datos!L10/Datos!K10)*11)/factor_trimestre," - ")</f>
        <v>11.5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-0.70588235294117652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240</v>
      </c>
      <c r="O12" s="334"/>
      <c r="P12" s="334"/>
      <c r="Q12" s="226">
        <f>IF(ISNUMBER(Datos!P12),Datos!P12,0)</f>
        <v>432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470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166</v>
      </c>
      <c r="AI12" s="334" t="str">
        <f>IF(ISNUMBER(Datos!CD12),Datos!CD12,"-")</f>
        <v>-</v>
      </c>
      <c r="AJ12" s="334" t="str">
        <f>IF(ISNUMBER(Datos!EN12),Datos!EN12," - ")</f>
        <v xml:space="preserve"> - </v>
      </c>
      <c r="AK12" s="334"/>
      <c r="AL12" s="479"/>
      <c r="AM12" s="335">
        <f>IF(ISNUMBER(Datos!R12),Datos!R12," - ")</f>
        <v>1739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635</v>
      </c>
      <c r="BD12" s="229">
        <f>IF(ISNUMBER(Datos!N12),Datos!N12," - ")</f>
        <v>1078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1.0069686411149825</v>
      </c>
      <c r="BH12" s="260">
        <f>IF(ISNUMBER(((IF(J_V="SI",Datos!L12/Datos!K12,(Datos!L12+Datos!AB12)/(Datos!K12+Datos!AA12)))*11)/factor_trimestre),((IF(J_V="SI",Datos!L12/Datos!K12,(Datos!L12+Datos!AB12)/(Datos!K12+Datos!AA12)))*11)/factor_trimestre," - ")</f>
        <v>4.9946174548250672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-2.1384355655599326E-2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4</v>
      </c>
      <c r="F13" s="898">
        <f t="shared" si="0"/>
        <v>25</v>
      </c>
      <c r="G13" s="898">
        <f t="shared" si="0"/>
        <v>35</v>
      </c>
      <c r="H13" s="899">
        <f t="shared" si="0"/>
        <v>0</v>
      </c>
      <c r="I13" s="898">
        <f t="shared" si="0"/>
        <v>0</v>
      </c>
      <c r="J13" s="867">
        <f t="shared" si="0"/>
        <v>0</v>
      </c>
      <c r="K13" s="867">
        <f t="shared" si="0"/>
        <v>0</v>
      </c>
      <c r="L13" s="899">
        <f t="shared" si="0"/>
        <v>0</v>
      </c>
      <c r="M13" s="899">
        <f t="shared" si="0"/>
        <v>0</v>
      </c>
      <c r="N13" s="899">
        <f t="shared" si="0"/>
        <v>240</v>
      </c>
      <c r="O13" s="900">
        <f t="shared" si="0"/>
        <v>0</v>
      </c>
      <c r="P13" s="900">
        <f t="shared" si="0"/>
        <v>0</v>
      </c>
      <c r="Q13" s="899">
        <f t="shared" si="0"/>
        <v>438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22</v>
      </c>
      <c r="AC13" s="899">
        <f t="shared" si="1"/>
        <v>488</v>
      </c>
      <c r="AD13" s="899">
        <f t="shared" si="1"/>
        <v>0</v>
      </c>
      <c r="AE13" s="899">
        <f t="shared" si="1"/>
        <v>0</v>
      </c>
      <c r="AF13" s="899">
        <f t="shared" si="1"/>
        <v>23</v>
      </c>
      <c r="AG13" s="899">
        <f t="shared" si="1"/>
        <v>0</v>
      </c>
      <c r="AH13" s="899">
        <f t="shared" si="1"/>
        <v>166</v>
      </c>
      <c r="AI13" s="899">
        <f t="shared" si="1"/>
        <v>0</v>
      </c>
      <c r="AJ13" s="899">
        <f t="shared" si="1"/>
        <v>0</v>
      </c>
      <c r="AK13" s="899">
        <f t="shared" si="1"/>
        <v>0</v>
      </c>
      <c r="AL13" s="899">
        <f t="shared" si="1"/>
        <v>0</v>
      </c>
      <c r="AM13" s="899">
        <f t="shared" si="1"/>
        <v>1744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647</v>
      </c>
      <c r="BD13" s="899">
        <f t="shared" si="1"/>
        <v>1086</v>
      </c>
      <c r="BE13" s="899">
        <f t="shared" si="1"/>
        <v>0</v>
      </c>
      <c r="BF13" s="899">
        <f t="shared" si="1"/>
        <v>0</v>
      </c>
      <c r="BG13" s="899">
        <f>IF(ISNUMBER(Datos!K13/Datos!J13),Datos!K13/Datos!J13," - ")</f>
        <v>0.99407532797291576</v>
      </c>
      <c r="BH13" s="903">
        <f>IF(ISNUMBER(((Datos!L13/Datos!K13)*11)/factor_trimestre),((Datos!L13/Datos!K13)*11)/factor_trimestre," - ")</f>
        <v>4.8607918263090673</v>
      </c>
      <c r="BI13" s="899">
        <f>IF(ISNUMBER('Resol  Asuntos'!D13/NºAsuntos!G13),'Resol  Asuntos'!D13/NºAsuntos!G13," - ")</f>
        <v>0.24666412504765536</v>
      </c>
      <c r="BJ13" s="899" t="str">
        <f>IF(ISNUMBER(Datos!CI13/Datos!CJ13),Datos!CI13/Datos!CJ13," - ")</f>
        <v xml:space="preserve"> - </v>
      </c>
      <c r="BK13" s="899">
        <f>SUBTOTAL(9,BK8:BK12)</f>
        <v>0</v>
      </c>
      <c r="BL13" s="899">
        <f>IF(ISNUMBER((I13-AB13+L13)/(F13)),(I13-AB13+L13)/(F13)," - ")</f>
        <v>-0.88</v>
      </c>
      <c r="BM13" s="904">
        <f>SUBTOTAL(9,BM9:BM12)</f>
        <v>-0.72726670859677589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955</v>
      </c>
      <c r="G16" s="598">
        <f>IF(ISNUMBER(IF(D_I="SI",Datos!I16,Datos!I16+Datos!AC16)),IF(D_I="SI",Datos!I16,Datos!I16+Datos!AC16)," - ")</f>
        <v>1066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2269</v>
      </c>
      <c r="AC16" s="226">
        <f>IF(ISNUMBER(Datos!Q16),Datos!Q16," - ")</f>
        <v>71</v>
      </c>
      <c r="AD16" s="334"/>
      <c r="AE16" s="484"/>
      <c r="AF16" s="596">
        <f>IF(ISNUMBER(IF(D_I="SI",Datos!L16,Datos!L16+Datos!AF16)),IF(D_I="SI",Datos!L16,Datos!L16+Datos!AF16)," - ")</f>
        <v>920</v>
      </c>
      <c r="AG16" s="334"/>
      <c r="AH16" s="334"/>
      <c r="AI16" s="334"/>
      <c r="AJ16" s="334"/>
      <c r="AK16" s="334"/>
      <c r="AL16" s="479"/>
      <c r="AM16" s="335">
        <f>IF(ISNUMBER(Datos!R16),Datos!R16," - ")</f>
        <v>267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533</v>
      </c>
      <c r="BD16" s="229">
        <f>IF(ISNUMBER(Datos!N16),Datos!N16," - ")</f>
        <v>1005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1.0156669650850492</v>
      </c>
      <c r="BH16" s="260">
        <f>IF(ISNUMBER(((IF(D_I="SI",Datos!L16/Datos!K16,(Datos!L16+Datos!AF16)/(Datos!K16+Datos!AE16)))*11)/factor_trimestre),((IF(D_I="SI",Datos!L16/Datos!K16,(Datos!L16+Datos!AF16)/(Datos!K16+Datos!AE16)))*11)/factor_trimestre," - ")</f>
        <v>4.4601145879241955</v>
      </c>
      <c r="BI16" s="243">
        <f>IF(ISNUMBER('Resol  Asuntos'!D16/NºAsuntos!G16),'Resol  Asuntos'!D16/NºAsuntos!G16," - ")</f>
        <v>0.23490524460114587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218</v>
      </c>
      <c r="AC17" s="226">
        <f>IF(ISNUMBER(Datos!Q17),Datos!Q17," - ")</f>
        <v>20</v>
      </c>
      <c r="AD17" s="334"/>
      <c r="AE17" s="484"/>
      <c r="AF17" s="332">
        <f>IF(ISNUMBER(Datos!L17),Datos!L17,"-")</f>
        <v>74</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46</v>
      </c>
      <c r="BD17" s="229">
        <f>IF(ISNUMBER(Datos!N17),Datos!N17," - ")</f>
        <v>95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0.88259109311740891</v>
      </c>
      <c r="BH17" s="260">
        <f>IF(ISNUMBER(((IF(D_I="SI",Datos!L17/Datos!K17,(Datos!L17+Datos!AF17)/(Datos!K17+Datos!AE17)))*11)/factor_trimestre),((IF(D_I="SI",Datos!L17/Datos!K17,(Datos!L17+Datos!AF17)/(Datos!K17+Datos!AE17)))*11)/factor_trimestre," - ")</f>
        <v>3.7339449541284404</v>
      </c>
      <c r="BI17" s="243">
        <f>IF(ISNUMBER('Resol  Asuntos'!D17/NºAsuntos!G17),'Resol  Asuntos'!D17/NºAsuntos!G17," - ")</f>
        <v>0.21100917431192662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955</v>
      </c>
      <c r="G18" s="898">
        <f>SUBTOTAL(9,G15:G17)</f>
        <v>1176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2487</v>
      </c>
      <c r="AC18" s="899">
        <f t="shared" si="4"/>
        <v>91</v>
      </c>
      <c r="AD18" s="899">
        <f t="shared" si="4"/>
        <v>0</v>
      </c>
      <c r="AE18" s="899">
        <f t="shared" si="4"/>
        <v>0</v>
      </c>
      <c r="AF18" s="899">
        <f t="shared" si="4"/>
        <v>994</v>
      </c>
      <c r="AG18" s="899">
        <f t="shared" si="4"/>
        <v>0</v>
      </c>
      <c r="AH18" s="899">
        <f t="shared" si="4"/>
        <v>0</v>
      </c>
      <c r="AI18" s="899">
        <f t="shared" si="4"/>
        <v>0</v>
      </c>
      <c r="AJ18" s="899">
        <f t="shared" si="4"/>
        <v>0</v>
      </c>
      <c r="AK18" s="899">
        <f t="shared" si="4"/>
        <v>0</v>
      </c>
      <c r="AL18" s="899">
        <f t="shared" si="4"/>
        <v>0</v>
      </c>
      <c r="AM18" s="899">
        <f t="shared" si="4"/>
        <v>273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579</v>
      </c>
      <c r="BD18" s="899">
        <f t="shared" si="4"/>
        <v>1100</v>
      </c>
      <c r="BE18" s="899">
        <f t="shared" si="4"/>
        <v>0</v>
      </c>
      <c r="BF18" s="899">
        <f t="shared" si="4"/>
        <v>0</v>
      </c>
      <c r="BG18" s="899">
        <f>IF(ISNUMBER(Datos!K18/Datos!J18),Datos!K18/Datos!J18," - ")</f>
        <v>1.0024183796856105</v>
      </c>
      <c r="BH18" s="903">
        <f>IF(ISNUMBER(((Datos!L18/Datos!K18)*11)/factor_trimestre),((Datos!L18/Datos!K18)*11)/factor_trimestre," - ")</f>
        <v>4.3964616003216728</v>
      </c>
      <c r="BI18" s="899">
        <f>SUBTOTAL(9,BI15:BI17)</f>
        <v>0.44591441891307249</v>
      </c>
      <c r="BJ18" s="899">
        <f>SUBTOTAL(9,BJ15:BJ17)</f>
        <v>0</v>
      </c>
      <c r="BK18" s="899">
        <f>SUBTOTAL(9,BK15:BK17)</f>
        <v>0</v>
      </c>
      <c r="BL18" s="899">
        <f>IF(ISNUMBER((I18-AB18+L18)/(F18)),(I18-AB18+L18)/(F18)," - ")</f>
        <v>-2.6041884816753926</v>
      </c>
      <c r="BM18" s="905">
        <f>IF(ISNUMBER((Datos!P18-Datos!Q18)/(Datos!R18-Datos!P18+Datos!Q18)),(Datos!P18-Datos!Q18)/(Datos!R18-Datos!P18+Datos!Q18)," - ")</f>
        <v>9.6385542168674704E-2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8</v>
      </c>
      <c r="F19" s="820">
        <f t="shared" si="6"/>
        <v>980</v>
      </c>
      <c r="G19" s="820">
        <f t="shared" si="6"/>
        <v>1211</v>
      </c>
      <c r="H19" s="822">
        <f t="shared" si="6"/>
        <v>0</v>
      </c>
      <c r="I19" s="820">
        <f t="shared" si="6"/>
        <v>0</v>
      </c>
      <c r="J19" s="822">
        <f t="shared" si="6"/>
        <v>0</v>
      </c>
      <c r="K19" s="822">
        <f t="shared" si="6"/>
        <v>0</v>
      </c>
      <c r="L19" s="881">
        <f t="shared" si="6"/>
        <v>0</v>
      </c>
      <c r="M19" s="881">
        <f t="shared" si="6"/>
        <v>0</v>
      </c>
      <c r="N19" s="881">
        <f t="shared" si="6"/>
        <v>240</v>
      </c>
      <c r="O19" s="881">
        <f t="shared" si="6"/>
        <v>0</v>
      </c>
      <c r="P19" s="881">
        <f t="shared" si="6"/>
        <v>0</v>
      </c>
      <c r="Q19" s="822">
        <f t="shared" si="6"/>
        <v>553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2509</v>
      </c>
      <c r="AC19" s="821">
        <f t="shared" si="7"/>
        <v>579</v>
      </c>
      <c r="AD19" s="821">
        <f t="shared" si="7"/>
        <v>0</v>
      </c>
      <c r="AE19" s="821">
        <f t="shared" si="7"/>
        <v>0</v>
      </c>
      <c r="AF19" s="828">
        <f t="shared" si="7"/>
        <v>1017</v>
      </c>
      <c r="AG19" s="828">
        <f t="shared" si="7"/>
        <v>0</v>
      </c>
      <c r="AH19" s="828">
        <f t="shared" si="7"/>
        <v>166</v>
      </c>
      <c r="AI19" s="828">
        <f t="shared" si="7"/>
        <v>0</v>
      </c>
      <c r="AJ19" s="821">
        <f t="shared" si="7"/>
        <v>0</v>
      </c>
      <c r="AK19" s="828">
        <f t="shared" si="7"/>
        <v>0</v>
      </c>
      <c r="AL19" s="828">
        <f t="shared" si="7"/>
        <v>0</v>
      </c>
      <c r="AM19" s="828">
        <f t="shared" si="7"/>
        <v>2017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1226</v>
      </c>
      <c r="BD19" s="820">
        <f t="shared" si="7"/>
        <v>2186</v>
      </c>
      <c r="BE19" s="820">
        <f t="shared" si="7"/>
        <v>0</v>
      </c>
      <c r="BF19" s="830">
        <f t="shared" si="7"/>
        <v>0</v>
      </c>
      <c r="BG19" s="915">
        <f>IF(ISNUMBER(Datos!K19/Datos!J19),Datos!K19/Datos!J19," - ")</f>
        <v>0.9983484723369116</v>
      </c>
      <c r="BH19" s="915">
        <f>IF(ISNUMBER(((Datos!L19/Datos!K19)*11)/factor_trimestre),((Datos!L19/Datos!K19)*11)/factor_trimestre," - ")</f>
        <v>4.6220016542597193</v>
      </c>
      <c r="BI19" s="813">
        <f>IF(ISNUMBER(Datos!J19/Datos!I19),Datos!J19/Datos!I19," - ")</f>
        <v>2.1918552036199097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-2.5602040816326532</v>
      </c>
      <c r="BM19" s="889">
        <f>IF(ISNUMBER((Datos!P19-Datos!Q19+R19)/(Datos!R19-Datos!P19+Datos!Q19-R19)),(Datos!P19-Datos!Q19+R19)/(Datos!R19-Datos!P19+Datos!Q19-R19)," - ")</f>
        <v>-1.2726382770435633E-2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484.4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536.93575034635194</v>
      </c>
      <c r="G21" s="552">
        <f>IF(ISNUMBER(STDEV(G8:G18)),STDEV(G8:G18),"-")</f>
        <v>583.2377731251637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1259.5591689158553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297.11052937697559</v>
      </c>
      <c r="BD21" s="551"/>
      <c r="BE21" s="551">
        <f>IF(ISNUMBER(STDEV(BE8:BE18)),STDEV(BE8:BE18),"-")</f>
        <v>0</v>
      </c>
      <c r="BF21" s="556">
        <f>IF(ISNUMBER(STDEV(BF8:BF18)),STDEV(BF8:BF18),"-")</f>
        <v>0</v>
      </c>
      <c r="BG21" s="775">
        <f>IF(ISNUMBER(STDEV(BG8:BG18)),STDEV(BG8:BG18),"-")</f>
        <v>6.9454048360388126E-2</v>
      </c>
      <c r="BH21" s="776">
        <f>IF(ISNUMBER(STDEV(BH8:BH18)),STDEV(BH8:BH18),"-")</f>
        <v>2.8959619118163622</v>
      </c>
      <c r="BI21" s="249">
        <f>IF(ISNUMBER(STDEV(BI8:BI18)),STDEV(BI8:BI18),"-")</f>
        <v>0.10854591737561638</v>
      </c>
      <c r="BJ21" s="230" t="str">
        <f>IF(ISNUMBER(BL21/BM21),BL21/BM21," - ")</f>
        <v xml:space="preserve"> - </v>
      </c>
      <c r="BK21" s="575"/>
      <c r="BL21" s="559">
        <f>IF(ISNUMBER(STDEV(BL8:BL18)),STDEV(BL8:BL18),"-")</f>
        <v>1.2191853674364075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TdlgNJHXZfrSNqhQhmD25OXWlR/2kZ88j5ifKnvrZLDeL+dHarIJAMJ7XCTQHaRcJRWC+ffJu4tpG4bTY9/TNQ==" saltValue="ZtCNejWr6ZrBIcZMqXhn+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GERNIKA-LUMO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25</v>
      </c>
      <c r="G10" s="225">
        <f>IF(ISNUMBER(Datos!I10),Datos!I10," - ")</f>
        <v>35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22</v>
      </c>
      <c r="Z10" s="619">
        <f>IF(ISNUMBER(Datos!Q10),Datos!Q10," - ")</f>
        <v>18</v>
      </c>
      <c r="AA10" s="332">
        <f>IF(ISNUMBER(Datos!L10),Datos!L10,"-")</f>
        <v>23</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12</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-0.70588235294117652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432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470</v>
      </c>
      <c r="AA12" s="332" t="str">
        <f>IF(ISNUMBER(IF(J_V="SI",Datos!L12,Datos!L12+Datos!AB12)-IF(Monitorios="SI",Datos!CD12,0)),
                          IF(J_V="SI",Datos!L12,Datos!L12+Datos!AB12)-IF(Monitorios="SI",Datos!CD12,0),
                          " - ")</f>
        <v xml:space="preserve"> - </v>
      </c>
      <c r="AB12" s="334"/>
      <c r="AC12" s="334"/>
      <c r="AD12" s="484"/>
      <c r="AE12" s="484">
        <f>IF(ISNUMBER(Datos!R12),Datos!R12," - ")</f>
        <v>1739</v>
      </c>
      <c r="AF12" s="229" t="str">
        <f>IF(ISNUMBER(Datos!BV12),Datos!BV12," - ")</f>
        <v xml:space="preserve"> - </v>
      </c>
      <c r="AG12" s="225" t="str">
        <f>IF(ISNUMBER(Datos!DV12),Datos!DV12," - ")</f>
        <v xml:space="preserve"> - </v>
      </c>
      <c r="AH12" s="298"/>
      <c r="AI12" s="227"/>
      <c r="AJ12" s="225">
        <f>IF(ISNUMBER(Datos!M12),Datos!M12," - ")</f>
        <v>635</v>
      </c>
      <c r="AK12" s="229">
        <f>IF(ISNUMBER(Datos!N12),Datos!N12," - ")</f>
        <v>1078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4.9946174548250672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-2.1384355655599326E-2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4</v>
      </c>
      <c r="F13" s="898">
        <f>SUBTOTAL(9,F8:F12)</f>
        <v>25</v>
      </c>
      <c r="G13" s="898">
        <f>SUBTOTAL(9,G8:G12)</f>
        <v>35</v>
      </c>
      <c r="H13" s="908"/>
      <c r="I13" s="898">
        <f t="shared" ref="I13:N13" si="0">SUBTOTAL(9,I8:I12)</f>
        <v>0</v>
      </c>
      <c r="J13" s="867">
        <f t="shared" si="0"/>
        <v>0</v>
      </c>
      <c r="K13" s="908">
        <f t="shared" si="0"/>
        <v>0</v>
      </c>
      <c r="L13" s="908">
        <f t="shared" si="0"/>
        <v>0</v>
      </c>
      <c r="M13" s="908">
        <f t="shared" si="0"/>
        <v>0</v>
      </c>
      <c r="N13" s="908">
        <f t="shared" si="0"/>
        <v>438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22</v>
      </c>
      <c r="Z13" s="907">
        <f t="shared" si="2"/>
        <v>488</v>
      </c>
      <c r="AA13" s="900">
        <f t="shared" si="2"/>
        <v>23</v>
      </c>
      <c r="AB13" s="900">
        <f t="shared" si="2"/>
        <v>0</v>
      </c>
      <c r="AC13" s="900">
        <f t="shared" si="2"/>
        <v>0</v>
      </c>
      <c r="AD13" s="900">
        <f t="shared" si="2"/>
        <v>0</v>
      </c>
      <c r="AE13" s="900">
        <f t="shared" si="2"/>
        <v>1744</v>
      </c>
      <c r="AF13" s="908">
        <f t="shared" si="2"/>
        <v>0</v>
      </c>
      <c r="AG13" s="908">
        <f t="shared" si="2"/>
        <v>0</v>
      </c>
      <c r="AH13" s="908">
        <f t="shared" si="2"/>
        <v>0</v>
      </c>
      <c r="AI13" s="908">
        <f t="shared" si="2"/>
        <v>0</v>
      </c>
      <c r="AJ13" s="908">
        <f t="shared" si="2"/>
        <v>647</v>
      </c>
      <c r="AK13" s="908">
        <f t="shared" si="2"/>
        <v>1086</v>
      </c>
      <c r="AL13" s="908">
        <f t="shared" si="2"/>
        <v>0</v>
      </c>
      <c r="AM13" s="908">
        <f t="shared" si="2"/>
        <v>0</v>
      </c>
      <c r="AN13" s="908">
        <f t="shared" si="2"/>
        <v>0</v>
      </c>
      <c r="AO13" s="904">
        <f>IF(ISNUMBER(((NºAsuntos!I13/NºAsuntos!G13)*11)/factor_trimestre),((NºAsuntos!I13/NºAsuntos!G13)*11)/factor_trimestre," - ")</f>
        <v>5.0491803278688527</v>
      </c>
      <c r="AP13" s="910" t="str">
        <f>IF(ISNUMBER(Datos!CI13/Datos!CJ13),Datos!CI13/Datos!CJ13," - ")</f>
        <v xml:space="preserve"> - </v>
      </c>
      <c r="AQ13" s="928">
        <f t="shared" ref="AQ13:AV13" si="3">SUBTOTAL(9,AQ9:AQ12)</f>
        <v>0</v>
      </c>
      <c r="AR13" s="928">
        <f t="shared" si="3"/>
        <v>-0.72726670859677589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955</v>
      </c>
      <c r="G16" s="225">
        <f>IF(ISNUMBER(IF(D_I="SI",Datos!I16,Datos!I16+Datos!AC16)),IF(D_I="SI",Datos!I16,Datos!I16+Datos!AC16)," - ")</f>
        <v>1066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2269</v>
      </c>
      <c r="Z16" s="619">
        <f>IF(ISNUMBER(Datos!Q16),Datos!Q16," - ")</f>
        <v>71</v>
      </c>
      <c r="AA16" s="332">
        <f>IF(ISNUMBER(IF(D_I="SI",Datos!L16,Datos!L16+Datos!AF16)),IF(D_I="SI",Datos!L16,Datos!L16+Datos!AF16)," - ")</f>
        <v>920</v>
      </c>
      <c r="AB16" s="334"/>
      <c r="AC16" s="334"/>
      <c r="AD16" s="484"/>
      <c r="AE16" s="484">
        <f>IF(ISNUMBER(Datos!R16),Datos!R16," - ")</f>
        <v>267</v>
      </c>
      <c r="AF16" s="229" t="str">
        <f>IF(ISNUMBER(Datos!BV16),Datos!BV16," - ")</f>
        <v xml:space="preserve"> - </v>
      </c>
      <c r="AG16" s="225"/>
      <c r="AH16" s="298"/>
      <c r="AI16" s="227"/>
      <c r="AJ16" s="225">
        <f>IF(ISNUMBER(Datos!M16),Datos!M16," - ")</f>
        <v>533</v>
      </c>
      <c r="AK16" s="229">
        <f>IF(ISNUMBER(Datos!N16),Datos!N16," - ")</f>
        <v>1005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4.4601145879241955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218</v>
      </c>
      <c r="Z17" s="619">
        <f>IF(ISNUMBER(Datos!Q17),Datos!Q17," - ")</f>
        <v>20</v>
      </c>
      <c r="AA17" s="332">
        <f>IF(ISNUMBER(Datos!L17),Datos!L17,"-")</f>
        <v>74</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46</v>
      </c>
      <c r="AK17" s="229">
        <f>IF(ISNUMBER(Datos!N17),Datos!N17," - ")</f>
        <v>95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3.7339449541284404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955</v>
      </c>
      <c r="G18" s="898">
        <f>SUBTOTAL(9,G15:G17)</f>
        <v>1176</v>
      </c>
      <c r="H18" s="932">
        <f>SUBTOTAL(9,H15:H17)</f>
        <v>0</v>
      </c>
      <c r="I18" s="911">
        <f>SUBTOTAL(9,I15:I17)</f>
        <v>0</v>
      </c>
      <c r="J18" s="867">
        <f>SUBTOTAL(9,J14:J17)</f>
        <v>0</v>
      </c>
      <c r="K18" s="932">
        <f t="shared" ref="K18:S18" si="4">SUBTOTAL(9,K15:K17)</f>
        <v>0</v>
      </c>
      <c r="L18" s="932">
        <f t="shared" si="4"/>
        <v>0</v>
      </c>
      <c r="M18" s="932">
        <f t="shared" si="4"/>
        <v>0</v>
      </c>
      <c r="N18" s="932">
        <f t="shared" si="4"/>
        <v>115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2487</v>
      </c>
      <c r="Z18" s="932">
        <f t="shared" si="5"/>
        <v>91</v>
      </c>
      <c r="AA18" s="932">
        <f t="shared" si="5"/>
        <v>994</v>
      </c>
      <c r="AB18" s="932">
        <f t="shared" si="5"/>
        <v>0</v>
      </c>
      <c r="AC18" s="932">
        <f t="shared" si="5"/>
        <v>0</v>
      </c>
      <c r="AD18" s="932">
        <f t="shared" si="5"/>
        <v>0</v>
      </c>
      <c r="AE18" s="932">
        <f t="shared" si="5"/>
        <v>273</v>
      </c>
      <c r="AF18" s="932">
        <f t="shared" si="5"/>
        <v>0</v>
      </c>
      <c r="AG18" s="932">
        <f t="shared" si="5"/>
        <v>0</v>
      </c>
      <c r="AH18" s="932">
        <f t="shared" si="5"/>
        <v>0</v>
      </c>
      <c r="AI18" s="932">
        <f t="shared" si="5"/>
        <v>0</v>
      </c>
      <c r="AJ18" s="932">
        <f t="shared" si="5"/>
        <v>579</v>
      </c>
      <c r="AK18" s="932">
        <f t="shared" si="5"/>
        <v>1100</v>
      </c>
      <c r="AL18" s="932">
        <f t="shared" si="5"/>
        <v>0</v>
      </c>
      <c r="AM18" s="932">
        <f t="shared" si="5"/>
        <v>0</v>
      </c>
      <c r="AN18" s="932">
        <f t="shared" si="5"/>
        <v>0</v>
      </c>
      <c r="AO18" s="934">
        <f>IF(ISNUMBER(((NºAsuntos!I18/NºAsuntos!G18)*11)/factor_trimestre),((NºAsuntos!I18/NºAsuntos!G18)*11)/factor_trimestre," - ")</f>
        <v>4.3964616003216728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980</v>
      </c>
      <c r="G19" s="820">
        <f t="shared" si="7"/>
        <v>1211</v>
      </c>
      <c r="H19" s="821">
        <f t="shared" si="7"/>
        <v>0</v>
      </c>
      <c r="I19" s="820">
        <f t="shared" si="7"/>
        <v>0</v>
      </c>
      <c r="J19" s="822">
        <f t="shared" si="7"/>
        <v>0</v>
      </c>
      <c r="K19" s="820">
        <f t="shared" si="7"/>
        <v>0</v>
      </c>
      <c r="L19" s="823">
        <f t="shared" si="7"/>
        <v>0</v>
      </c>
      <c r="M19" s="820">
        <f t="shared" si="7"/>
        <v>0</v>
      </c>
      <c r="N19" s="821">
        <f t="shared" si="7"/>
        <v>553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2509</v>
      </c>
      <c r="Z19" s="827">
        <f t="shared" si="8"/>
        <v>579</v>
      </c>
      <c r="AA19" s="828">
        <f t="shared" si="8"/>
        <v>1017</v>
      </c>
      <c r="AB19" s="828">
        <f t="shared" si="8"/>
        <v>0</v>
      </c>
      <c r="AC19" s="828">
        <f t="shared" si="8"/>
        <v>0</v>
      </c>
      <c r="AD19" s="829">
        <f t="shared" si="8"/>
        <v>0</v>
      </c>
      <c r="AE19" s="829">
        <f t="shared" si="8"/>
        <v>2017</v>
      </c>
      <c r="AF19" s="830">
        <f t="shared" si="8"/>
        <v>0</v>
      </c>
      <c r="AG19" s="831">
        <f t="shared" si="8"/>
        <v>0</v>
      </c>
      <c r="AH19" s="832">
        <f t="shared" si="8"/>
        <v>0</v>
      </c>
      <c r="AI19" s="830">
        <f t="shared" si="8"/>
        <v>0</v>
      </c>
      <c r="AJ19" s="820">
        <f t="shared" si="8"/>
        <v>1226</v>
      </c>
      <c r="AK19" s="820">
        <f t="shared" si="8"/>
        <v>2186</v>
      </c>
      <c r="AL19" s="820">
        <f t="shared" si="8"/>
        <v>0</v>
      </c>
      <c r="AM19" s="833">
        <f t="shared" si="8"/>
        <v>0</v>
      </c>
      <c r="AN19" s="823">
        <f>IF(ISNUMBER(Datos!K19/Datos!J19),Datos!K19/Datos!J19," - ")</f>
        <v>0.9983484723369116</v>
      </c>
      <c r="AO19" s="823">
        <f>IF(ISNUMBER(FIND("06",Criterios!A8,1)),(IF(ISNUMBER(((Datos!R19/Datos!Q19)*11)/factor_trimestre),((Datos!R19/Datos!Q19)*11)/factor_trimestre," - ")),(IF(ISNUMBER(((Datos!L19/Datos!K19)*11)/factor_trimestre),((Datos!L19/Datos!K19)*11)/factor_trimestre," - ")))</f>
        <v>4.6220016542597193</v>
      </c>
      <c r="AP19" s="834" t="str">
        <f>IF(ISNUMBER(Datos!CI19/Datos!CJ19),Datos!CI19/Datos!CJ19," - ")</f>
        <v xml:space="preserve"> - </v>
      </c>
      <c r="AQ19" s="834">
        <f>IF(OR(ISNUMBER(FIND("01",Criterios!A8,1)),ISNUMBER(FIND("02",Criterios!A8,1)),ISNUMBER(FIND("03",Criterios!A8,1)),ISNUMBER(FIND("04",Criterios!A8,1))),(J19-Y19+K19)/(F19-K19),(I19-Y19+K19)/(F19-K19))</f>
        <v>-2.5602040816326532</v>
      </c>
      <c r="AR19" s="834">
        <f>IF(ISNUMBER((Datos!P19-Datos!Q19+O19)/(Datos!R19-Datos!P19+Datos!Q19-O19)),(Datos!P19-Datos!Q19+O19)/(Datos!R19-Datos!P19+Datos!Q19-O19)," - ")</f>
        <v>-1.2726382770435633E-2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484.4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536.93575034635194</v>
      </c>
      <c r="G21" s="552">
        <f>IF(ISNUMBER(STDEV(G8:G18)),STDEV(G8:G18),"-")</f>
        <v>583.2377731251637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297.11052937697559</v>
      </c>
      <c r="AK21" s="252"/>
      <c r="AL21" s="252">
        <f>IF(ISNUMBER(STDEV(AL8:AL18)),STDEV(AL8:AL18),"-")</f>
        <v>0</v>
      </c>
      <c r="AM21" s="254">
        <f>IF(ISNUMBER(STDEV(AM8:AM18)),STDEV(AM8:AM18),"-")</f>
        <v>0</v>
      </c>
      <c r="AN21" s="539">
        <f>IF(ISNUMBER(STDEV(AN8:AN18)),STDEV(AN8:AN18),"-")</f>
        <v>0</v>
      </c>
      <c r="AO21" s="540">
        <f>IF(ISNUMBER(STDEV(AO8:AO18)),STDEV(AO8:AO18),"-")</f>
        <v>2.8866005064082207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DMGc03T5bxESMGNe/YHJJjMF4g/XAroS5Q3gJZQWNS9FAHBOT+D/yE8TQ+CtXkjikB8GJjW7xl8FvFoXM439cA==" saltValue="gOlbUjIZIWbP1+GjS+FgK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IfKRxP3VdCg/2YT6RBRmaFQRAmQZeKgE09MjQBY+Uqi2GrJwFeBo572dNewxc/xkovTxfd9vHCWZ20YjSywMg==" saltValue="dopyQXJEDZdidFUtc1pmu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1ysakEan82TKnHpumMg+kDADKDR3jnw7IcZl+ELPH/Nw9K/+O1QD6RcEeMLCPcvFCaQkSHWQ3wmlfVSfS+bFw==" saltValue="1VccVu3PGxw5zHJW16P1Q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GERNIKA-LUMO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0.24666412504765536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0.17441787549664364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81b2iT4zrC6B6qXKPfy0yiE7eoUpzfZobYy2w0/1Fvy0+y2QKPL/zkKk5mb0pa4tCej5dB/X0rq9jy1quaRm4w==" saltValue="+r74Jsf1ibYHdEQl1SA3L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eb/vO81EiIEY4C63mS7i4TWtVuFVXGQIpHdcbpWn/YwAgqH+t61Drk4QZxvmjkziDZ1aChVFnuelCQToSUOnQ==" saltValue="QuZXxHbRaetxy9zUnrf+2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GERNIKA-LUMO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35</v>
      </c>
      <c r="D10" s="404">
        <f>IF(ISNUMBER(C10/Datos!BH10),C10/Datos!BH10," - ")</f>
        <v>35</v>
      </c>
      <c r="E10" s="403">
        <f>IF(ISNUMBER(Datos!J10),Datos!J10," - ")</f>
        <v>20</v>
      </c>
      <c r="F10" s="404">
        <f>IF(ISNUMBER(E10/B10),E10/B10," - ")</f>
        <v>20</v>
      </c>
      <c r="G10" s="403">
        <f>IF(ISNUMBER(Datos!K10),Datos!K10," - ")</f>
        <v>22</v>
      </c>
      <c r="H10" s="404">
        <f>IF(ISNUMBER(G10/B10),G10/B10," - ")</f>
        <v>22</v>
      </c>
      <c r="I10" s="403">
        <f>IF(ISNUMBER(Datos!L10),Datos!L10," - ")</f>
        <v>23</v>
      </c>
      <c r="J10" s="404">
        <f>IF(ISNUMBER(I10/B10),I10/B10," - ")</f>
        <v>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1199</v>
      </c>
      <c r="D12" s="404">
        <f>IF(ISNUMBER(C12/Datos!BH12),C12/Datos!BH12," - ")</f>
        <v>299.75</v>
      </c>
      <c r="E12" s="403">
        <f>IF(ISNUMBER(IF(J_V="SI",Datos!J12,Datos!J12+Datos!Z12)),IF(J_V="SI",Datos!J12,Datos!J12+Datos!Z12)," - ")</f>
        <v>2583</v>
      </c>
      <c r="F12" s="404">
        <f>IF(ISNUMBER(E12/B12),E12/B12," - ")</f>
        <v>645.75</v>
      </c>
      <c r="G12" s="403">
        <f>IF(ISNUMBER(IF(J_V="SI",Datos!K12,Datos!K12+Datos!AA12)),IF(J_V="SI",Datos!K12,Datos!K12+Datos!AA12)," - ")</f>
        <v>2601</v>
      </c>
      <c r="H12" s="404">
        <f>IF(ISNUMBER(G12/B12),G12/B12," - ")</f>
        <v>650.25</v>
      </c>
      <c r="I12" s="403">
        <f>IF(ISNUMBER(IF(J_V="SI",Datos!L12,Datos!L12+Datos!AB12)),IF(J_V="SI",Datos!L12,Datos!L12+Datos!AB12)," - ")</f>
        <v>1181</v>
      </c>
      <c r="J12" s="404">
        <f>IF(ISNUMBER(I12/B12),I12/B12," - ")</f>
        <v>295.25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1234</v>
      </c>
      <c r="D13" s="850" t="str">
        <f>IF(ISNUMBER(C13/Datos!BI13),C13/Datos!BI13," - ")</f>
        <v xml:space="preserve"> - </v>
      </c>
      <c r="E13" s="849">
        <f>SUBTOTAL(9,E8:E12)</f>
        <v>2603</v>
      </c>
      <c r="F13" s="850">
        <f>IF(ISNUMBER(E13/B13),E13/B13," - ")</f>
        <v>650.75</v>
      </c>
      <c r="G13" s="849">
        <f>SUBTOTAL(9,G8:G12)</f>
        <v>2623</v>
      </c>
      <c r="H13" s="850">
        <f>IF(ISNUMBER(G13/B13),G13/B13," - ")</f>
        <v>655.75</v>
      </c>
      <c r="I13" s="849">
        <f>SUBTOTAL(9,I8:I12)</f>
        <v>1204</v>
      </c>
      <c r="J13" s="850">
        <f>IF(ISNUMBER(I13/B13),I13/B13," - ")</f>
        <v>301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1066</v>
      </c>
      <c r="D16" s="404">
        <f>IF(ISNUMBER(C16/Datos!BH16),C16/Datos!BH16," - ")</f>
        <v>266.5</v>
      </c>
      <c r="E16" s="403">
        <f>IF(ISNUMBER(IF(D_I="SI",Datos!J16,Datos!J16+Datos!AD16)),IF(D_I="SI",Datos!J16,Datos!J16+Datos!AD16)," - ")</f>
        <v>2234</v>
      </c>
      <c r="F16" s="404">
        <f>IF(ISNUMBER(E16/B16),E16/B16," - ")</f>
        <v>558.5</v>
      </c>
      <c r="G16" s="403">
        <f>IF(ISNUMBER(IF(D_I="SI",Datos!K16,Datos!K16+Datos!AE16)),IF(D_I="SI",Datos!K16,Datos!K16+Datos!AE16)," - ")</f>
        <v>2269</v>
      </c>
      <c r="H16" s="404">
        <f>IF(ISNUMBER(G16/B16),G16/B16," - ")</f>
        <v>567.25</v>
      </c>
      <c r="I16" s="403">
        <f>IF(ISNUMBER(IF(D_I="SI",Datos!L16,Datos!L16+Datos!AF16)),IF(D_I="SI",Datos!L16,Datos!L16+Datos!AF16)," - ")</f>
        <v>920</v>
      </c>
      <c r="J16" s="404">
        <f>IF(ISNUMBER(I16/B16),I16/B16," - ")</f>
        <v>230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110</v>
      </c>
      <c r="D17" s="404">
        <f>IF(ISNUMBER(C17/Datos!BH17),C17/Datos!BH17," - ")</f>
        <v>110</v>
      </c>
      <c r="E17" s="403">
        <f>IF(ISNUMBER(IF(D_I="SI",Datos!J17,Datos!J17+Datos!AD17)),IF(D_I="SI",Datos!J17,Datos!J17+Datos!AD17)," - ")</f>
        <v>247</v>
      </c>
      <c r="F17" s="404">
        <f>IF(ISNUMBER(E17/B17),E17/B17," - ")</f>
        <v>247</v>
      </c>
      <c r="G17" s="403">
        <f>IF(ISNUMBER(IF(D_I="SI",Datos!K17,Datos!K17+Datos!AE17)),IF(D_I="SI",Datos!K17,Datos!K17+Datos!AE17)," - ")</f>
        <v>218</v>
      </c>
      <c r="H17" s="404">
        <f>IF(ISNUMBER(G17/B17),G17/B17," - ")</f>
        <v>218</v>
      </c>
      <c r="I17" s="403">
        <f>IF(ISNUMBER(IF(D_I="SI",Datos!L17,Datos!L17+Datos!AF17)),IF(D_I="SI",Datos!L17,Datos!L17+Datos!AF17)," - ")</f>
        <v>74</v>
      </c>
      <c r="J17" s="404">
        <f>IF(ISNUMBER(I17/B17),I17/B17," - ")</f>
        <v>74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1176</v>
      </c>
      <c r="D18" s="850" t="str">
        <f>IF(ISNUMBER(C18/Datos!BI18),C18/Datos!BI18," - ")</f>
        <v xml:space="preserve"> - </v>
      </c>
      <c r="E18" s="849">
        <f>SUBTOTAL(9,E14:E17)</f>
        <v>2481</v>
      </c>
      <c r="F18" s="850">
        <f>IF(ISNUMBER(E18/B18),E18/B18," - ")</f>
        <v>620.25</v>
      </c>
      <c r="G18" s="849">
        <f>SUBTOTAL(9,G14:G17)</f>
        <v>2487</v>
      </c>
      <c r="H18" s="850">
        <f>IF(ISNUMBER(G18/B18),G18/B18," - ")</f>
        <v>621.75</v>
      </c>
      <c r="I18" s="849">
        <f>SUBTOTAL(9,I14:I17)</f>
        <v>994</v>
      </c>
      <c r="J18" s="850">
        <f>IF(ISNUMBER(I18/B18),I18/B18," - ")</f>
        <v>248.5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2410</v>
      </c>
      <c r="D19" s="795" t="str">
        <f>IF(ISNUMBER(C19/Datos!BI19),C19/Datos!BI19," - ")</f>
        <v xml:space="preserve"> - </v>
      </c>
      <c r="E19" s="794">
        <f>SUBTOTAL(9,E9:E18)</f>
        <v>5084</v>
      </c>
      <c r="F19" s="795">
        <f>IF(ISNUMBER(E19/B19),E19/B19," - ")</f>
        <v>1271</v>
      </c>
      <c r="G19" s="794">
        <f>SUBTOTAL(9,G9:G18)</f>
        <v>5110</v>
      </c>
      <c r="H19" s="795">
        <f>IF(ISNUMBER(G19/B19),G19/B19," - ")</f>
        <v>1277.5</v>
      </c>
      <c r="I19" s="794">
        <f>SUBTOTAL(9,I9:I18)</f>
        <v>2198</v>
      </c>
      <c r="J19" s="795">
        <f>IF(ISNUMBER(I19/B19),I19/B19," - ")</f>
        <v>549.5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DGUi6OPGs74sdSQMxcSeFr99GNBCinaL2h0BISPhDOPxYyAr5YPWvOwmngyzcFXWMueJ9toBDorBGm5Moac7Ww==" saltValue="M6JPsweR2EwSbtntyIFsV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GERNIKA-LUMO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25</v>
      </c>
      <c r="G10" s="684">
        <f>IF(ISNUMBER(Datos!I10),Datos!I10," - ")</f>
        <v>35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22</v>
      </c>
      <c r="AC10" s="683" t="str">
        <f>IF(ISNUMBER(IF(D_I="SI",DatosP!K17,DatosP!K17+DatosP!AE17)),IF(D_I="SI",DatosP!K17,DatosP!K17+DatosP!AE17)," - ")</f>
        <v xml:space="preserve"> - </v>
      </c>
      <c r="AD10" s="685"/>
      <c r="AE10" s="685"/>
      <c r="AF10" s="688">
        <f>IF(ISNUMBER(Datos!L10),Datos!L10,"-")</f>
        <v>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11.5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432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470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1739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635</v>
      </c>
      <c r="AM12" s="690">
        <f>IF(ISNUMBER(Datos!N12+DatosP!N16),Datos!N12+DatosP!N16," - ")</f>
        <v>1078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4.9946174548250672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-2.1384355655599326E-2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25</v>
      </c>
      <c r="G13" s="938">
        <f t="shared" si="0"/>
        <v>35</v>
      </c>
      <c r="H13" s="938">
        <f t="shared" si="0"/>
        <v>0</v>
      </c>
      <c r="I13" s="940">
        <f t="shared" si="0"/>
        <v>0</v>
      </c>
      <c r="J13" s="939">
        <f t="shared" si="0"/>
        <v>0</v>
      </c>
      <c r="K13" s="939">
        <f t="shared" si="0"/>
        <v>0</v>
      </c>
      <c r="L13" s="941">
        <f t="shared" si="0"/>
        <v>0</v>
      </c>
      <c r="M13" s="941">
        <f t="shared" si="0"/>
        <v>0</v>
      </c>
      <c r="N13" s="939">
        <f t="shared" si="0"/>
        <v>438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22</v>
      </c>
      <c r="AC13" s="939">
        <f t="shared" si="1"/>
        <v>0</v>
      </c>
      <c r="AD13" s="939">
        <f t="shared" si="1"/>
        <v>470</v>
      </c>
      <c r="AE13" s="939">
        <f t="shared" si="1"/>
        <v>0</v>
      </c>
      <c r="AF13" s="939">
        <f t="shared" si="1"/>
        <v>23</v>
      </c>
      <c r="AG13" s="939">
        <f t="shared" si="1"/>
        <v>0</v>
      </c>
      <c r="AH13" s="939">
        <f t="shared" si="1"/>
        <v>1739</v>
      </c>
      <c r="AI13" s="939">
        <f t="shared" si="1"/>
        <v>0</v>
      </c>
      <c r="AJ13" s="939">
        <f t="shared" si="1"/>
        <v>0</v>
      </c>
      <c r="AK13" s="939">
        <f t="shared" si="1"/>
        <v>0</v>
      </c>
      <c r="AL13" s="939">
        <f t="shared" si="1"/>
        <v>647</v>
      </c>
      <c r="AM13" s="939">
        <f t="shared" si="1"/>
        <v>1086</v>
      </c>
      <c r="AN13" s="939">
        <f t="shared" si="1"/>
        <v>0</v>
      </c>
      <c r="AO13" s="939">
        <f t="shared" si="1"/>
        <v>0</v>
      </c>
      <c r="AP13" s="944">
        <f>IF(ISNUMBER(((Datos!L13/Datos!K13)*11)/factor_trimestre),((Datos!L13/Datos!K13)*11)/factor_trimestre," - ")</f>
        <v>4.8607918263090673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-0.88</v>
      </c>
      <c r="AU13" s="939" t="str">
        <f>IF(ISNUMBER((DatosP!#REF!-DatosP!#REF!+DatosP!#REF!)/(DatosP!#REF!+DatosP!#REF!-DatosP!#REF!-DatosP!#REF!)),(DatosP!#REF!-DatosP!#REF!+DatosP!#REF!)/(DatosP!#REF!+DatosP!#REF!-DatosP!#REF!-DatosP!#REF!)," - ")</f>
        <v xml:space="preserve"> - </v>
      </c>
      <c r="AV13" s="945">
        <f>SUBTOTAL(9,AV9:AV12)</f>
        <v>-2.1384355655599326E-2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4.3964616003216728</v>
      </c>
      <c r="AQ18" s="944">
        <f>IF(ISNUMBER(((Datos!M18/Datos!L18)*11)/factor_trimestre),((Datos!M18/Datos!L18)*11)/factor_trimestre," - ")</f>
        <v>6.4074446680080479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9.6385542168674704E-2</v>
      </c>
      <c r="AW18" s="946">
        <f>IF(ISNUMBER((Datos!Q18-Datos!R18)/(Datos!S18-Datos!Q18+Datos!R18)),(Datos!Q18-Datos!R18)/(Datos!S18-Datos!Q18+Datos!R18)," - ")</f>
        <v>-0.16590701914311759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25</v>
      </c>
      <c r="G19" s="951">
        <f t="shared" si="4"/>
        <v>35</v>
      </c>
      <c r="H19" s="951">
        <f t="shared" si="4"/>
        <v>0</v>
      </c>
      <c r="I19" s="952">
        <f t="shared" si="4"/>
        <v>0</v>
      </c>
      <c r="J19" s="953">
        <f t="shared" si="4"/>
        <v>0</v>
      </c>
      <c r="K19" s="953">
        <f t="shared" si="4"/>
        <v>0</v>
      </c>
      <c r="L19" s="953">
        <f t="shared" si="4"/>
        <v>0</v>
      </c>
      <c r="M19" s="953">
        <f t="shared" si="4"/>
        <v>0</v>
      </c>
      <c r="N19" s="952">
        <f t="shared" si="4"/>
        <v>438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22</v>
      </c>
      <c r="AC19" s="957">
        <f t="shared" si="5"/>
        <v>0</v>
      </c>
      <c r="AD19" s="957">
        <f t="shared" si="5"/>
        <v>470</v>
      </c>
      <c r="AE19" s="957">
        <f t="shared" si="5"/>
        <v>0</v>
      </c>
      <c r="AF19" s="958">
        <f t="shared" si="5"/>
        <v>23</v>
      </c>
      <c r="AG19" s="958">
        <f t="shared" si="5"/>
        <v>0</v>
      </c>
      <c r="AH19" s="958">
        <f t="shared" si="5"/>
        <v>1739</v>
      </c>
      <c r="AI19" s="958">
        <f t="shared" si="5"/>
        <v>0</v>
      </c>
      <c r="AJ19" s="959">
        <f t="shared" si="5"/>
        <v>0</v>
      </c>
      <c r="AK19" s="959">
        <f t="shared" si="5"/>
        <v>0</v>
      </c>
      <c r="AL19" s="951">
        <f t="shared" si="5"/>
        <v>647</v>
      </c>
      <c r="AM19" s="951">
        <f t="shared" si="5"/>
        <v>1086</v>
      </c>
      <c r="AN19" s="951">
        <f t="shared" si="5"/>
        <v>0</v>
      </c>
      <c r="AO19" s="951">
        <f t="shared" si="5"/>
        <v>0</v>
      </c>
      <c r="AP19" s="951">
        <f>IF(ISNUMBER(((Datos!L19/Datos!K19)*11)/factor_trimestre),((Datos!L19/Datos!K19)*11)/factor_trimestre," - ")</f>
        <v>4.6220016542597193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-1.2726382770435633E-2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23.333333333333332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14.433756729740644</v>
      </c>
      <c r="G21" s="737">
        <f>IF(ISNUMBER(STDEV(G8:G18)),STDEV(G8:G18),"-")</f>
        <v>20.207259421636902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12.701705922171765</v>
      </c>
      <c r="AC21" s="738">
        <f>IF(ISNUMBER(STDEV(AC8:AC18)),STDEV(AC8:AC18),"-")</f>
        <v>0</v>
      </c>
      <c r="AD21" s="741"/>
      <c r="AE21" s="741"/>
      <c r="AF21" s="741"/>
      <c r="AG21" s="741"/>
      <c r="AH21" s="741"/>
      <c r="AI21" s="741"/>
      <c r="AJ21" s="742">
        <f>IF(ISNUMBER(STDEV(AJ8:AJ18)),STDEV(AJ8:AJ18),"-")</f>
        <v>0</v>
      </c>
      <c r="AK21" s="744"/>
      <c r="AL21" s="736">
        <f>IF(ISNUMBER(STDEV(AL8:AL18)),STDEV(AL8:AL18),"-")</f>
        <v>366.68287842948621</v>
      </c>
      <c r="AM21" s="736"/>
      <c r="AN21" s="736">
        <f>IF(ISNUMBER(STDEV(AN8:AN18)),STDEV(AN8:AN18),"-")</f>
        <v>0</v>
      </c>
      <c r="AO21" s="742">
        <f>IF(ISNUMBER(STDEV(AO8:AO18)),STDEV(AO8:AO18),"-")</f>
        <v>0</v>
      </c>
      <c r="AP21" s="779">
        <f>IF(ISNUMBER(STDEV(AP8:AP18)),STDEV(AP8:AP18),"-")</f>
        <v>3.3844084578188056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RPyNJedHFzY6+gAgg7Dv8s3QwA6xYz2YMxf4xWFXlp2YSDqPa7mPEowJuVAOVg/cShj9opoQ20gysIZ9ycru1w==" saltValue="sGB4GGQjIl3fxA0dBvWiB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GERNIKA-LUMO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rEs/3YUqsqI71dUABEW1BsL5Wh2kDCvUmWXZdqDaZUdQbtjUB92KHc/L4nfSU2L5qrQFa3jFCt+YrnNyae1LWw==" saltValue="J5hNFUR30mH1EZnwMWlFB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GERNIKA-LUMO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12</v>
      </c>
      <c r="E10" s="404">
        <f>IF(ISNUMBER(D10/B10),D10/B10," - ")</f>
        <v>12</v>
      </c>
      <c r="F10" s="403">
        <f>IF(ISNUMBER(Datos!N10),Datos!N10," - ")</f>
        <v>8</v>
      </c>
      <c r="G10" s="404">
        <f>IF(ISNUMBER(F10/B10),F10/B10," - ")</f>
        <v>8</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635</v>
      </c>
      <c r="E12" s="404">
        <f t="shared" si="0"/>
        <v>158.75</v>
      </c>
      <c r="F12" s="403">
        <f>IF(ISNUMBER(Datos!N12),Datos!N12," - ")</f>
        <v>1078</v>
      </c>
      <c r="G12" s="404">
        <f t="shared" si="1"/>
        <v>269.5</v>
      </c>
      <c r="H12" s="403">
        <f>IF(ISNUMBER(Datos!O12),Datos!O12," - ")</f>
        <v>808</v>
      </c>
      <c r="I12" s="404">
        <f t="shared" si="2"/>
        <v>202</v>
      </c>
      <c r="BZ12" s="1186">
        <f>Datos!EZ12</f>
        <v>0</v>
      </c>
    </row>
    <row r="13" spans="1:78" ht="14.25" thickTop="1" thickBot="1">
      <c r="A13" s="848" t="str">
        <f>Datos!A13</f>
        <v>TOTAL</v>
      </c>
      <c r="B13" s="849">
        <f>Datos!AP13</f>
        <v>4</v>
      </c>
      <c r="C13" s="851">
        <f>Datos!AR13</f>
        <v>4</v>
      </c>
      <c r="D13" s="849">
        <f>SUBTOTAL(9,D9:D12)</f>
        <v>647</v>
      </c>
      <c r="E13" s="850">
        <f t="shared" si="0"/>
        <v>161.75</v>
      </c>
      <c r="F13" s="849">
        <f>SUBTOTAL(9,F9:F12)</f>
        <v>1086</v>
      </c>
      <c r="G13" s="850">
        <f t="shared" si="1"/>
        <v>271.5</v>
      </c>
      <c r="H13" s="849">
        <f>SUBTOTAL(9,H9:H12)</f>
        <v>808</v>
      </c>
      <c r="I13" s="850">
        <f>IF(ISNUMBER(H13/B13),H13/B13," - ")</f>
        <v>202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533</v>
      </c>
      <c r="E16" s="404">
        <f t="shared" si="3"/>
        <v>133.25</v>
      </c>
      <c r="F16" s="403">
        <f>IF(ISNUMBER(Datos!N16),Datos!N16," - ")</f>
        <v>1005</v>
      </c>
      <c r="G16" s="404">
        <f t="shared" si="4"/>
        <v>251.25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46</v>
      </c>
      <c r="E17" s="404">
        <f>IF(ISNUMBER(D17/B17),D17/B17," - ")</f>
        <v>46</v>
      </c>
      <c r="F17" s="403">
        <f>IF(ISNUMBER(Datos!N17),Datos!N17," - ")</f>
        <v>95</v>
      </c>
      <c r="G17" s="404">
        <f>IF(ISNUMBER(F17/B17),F17/B17," - ")</f>
        <v>95</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579</v>
      </c>
      <c r="E18" s="850">
        <f t="shared" si="3"/>
        <v>144.75</v>
      </c>
      <c r="F18" s="849">
        <f>SUBTOTAL(9,F15:F17)</f>
        <v>1100</v>
      </c>
      <c r="G18" s="850">
        <f t="shared" si="4"/>
        <v>275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1226</v>
      </c>
      <c r="E19" s="795">
        <f>IF(ISNUMBER(D19/B19),D19/B19," - ")</f>
        <v>306.5</v>
      </c>
      <c r="F19" s="794">
        <f>SUBTOTAL(9,F8:F18)</f>
        <v>2186</v>
      </c>
      <c r="G19" s="795">
        <f>IF(ISNUMBER(F19/B19),F19/B19," - ")</f>
        <v>546.5</v>
      </c>
      <c r="H19" s="794">
        <f>SUBTOTAL(9,H8:H18)</f>
        <v>808</v>
      </c>
      <c r="I19" s="795">
        <f>IF(ISNUMBER(H19/B19),H19/B19," - ")</f>
        <v>202</v>
      </c>
    </row>
    <row r="22" spans="1:78">
      <c r="A22" s="391" t="str">
        <f>Criterios!A4</f>
        <v>Fecha Informe: 28 feb. 2025</v>
      </c>
    </row>
    <row r="27" spans="1:78">
      <c r="A27" s="414"/>
    </row>
  </sheetData>
  <sheetProtection algorithmName="SHA-512" hashValue="HmvQpZtMXbH0NWZgl4DU/rKvam8F6RPcL7+ZvsvqzFDDuztSrKKaLYbleGgusdIgxVu9kySIhlwIADtFyOdwNg==" saltValue="Kle0NSeZl5xb2QZCjJmqT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GERNIKA-LUMO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6</v>
      </c>
      <c r="C10" s="434">
        <f>IF(ISNUMBER(Datos!Q10),Datos!Q10," - ")</f>
        <v>18</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432</v>
      </c>
      <c r="C12" s="434">
        <f>IF(ISNUMBER(Datos!Q12),Datos!Q12," - ")</f>
        <v>470</v>
      </c>
      <c r="D12" s="408">
        <f>IF(ISNUMBER(Datos!R12),Datos!R12," - ")</f>
        <v>1739</v>
      </c>
    </row>
    <row r="13" spans="1:4" ht="14.25" thickTop="1" thickBot="1">
      <c r="A13" s="848" t="str">
        <f>Datos!A13</f>
        <v>TOTAL</v>
      </c>
      <c r="B13" s="849">
        <f>SUBTOTAL(9,B9:B12)</f>
        <v>438</v>
      </c>
      <c r="C13" s="853">
        <f>SUBTOTAL(9,C9:C12)</f>
        <v>488</v>
      </c>
      <c r="D13" s="851">
        <f>SUBTOTAL(9,D9:D12)</f>
        <v>1744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114</v>
      </c>
      <c r="C16" s="434">
        <f>IF(ISNUMBER(Datos!Q16),Datos!Q16," - ")</f>
        <v>71</v>
      </c>
      <c r="D16" s="408">
        <f>IF(ISNUMBER(Datos!R16),Datos!R16," - ")</f>
        <v>267</v>
      </c>
    </row>
    <row r="17" spans="1:4" ht="13.5" thickBot="1">
      <c r="A17" s="402" t="str">
        <f>Datos!A17</f>
        <v>Jdos. Violencia contra la mujer</v>
      </c>
      <c r="B17" s="433">
        <f>IF(ISNUMBER(Datos!P17),Datos!P17," - ")</f>
        <v>1</v>
      </c>
      <c r="C17" s="434">
        <f>IF(ISNUMBER(Datos!Q17),Datos!Q17," - ")</f>
        <v>20</v>
      </c>
      <c r="D17" s="408">
        <f>IF(ISNUMBER(Datos!R17),Datos!R17," - ")</f>
        <v>6</v>
      </c>
    </row>
    <row r="18" spans="1:4" ht="14.25" thickTop="1" thickBot="1">
      <c r="A18" s="848" t="str">
        <f>Datos!A18</f>
        <v>TOTAL</v>
      </c>
      <c r="B18" s="849">
        <f>SUBTOTAL(9,B15:B17)</f>
        <v>115</v>
      </c>
      <c r="C18" s="853">
        <f>SUBTOTAL(9,C15:C17)</f>
        <v>91</v>
      </c>
      <c r="D18" s="851">
        <f>SUBTOTAL(9,D15:D17)</f>
        <v>273</v>
      </c>
    </row>
    <row r="19" spans="1:4" ht="16.5" customHeight="1" thickTop="1" thickBot="1">
      <c r="A19" s="793" t="str">
        <f>Datos!A19</f>
        <v>TOTAL JURISDICCIONES</v>
      </c>
      <c r="B19" s="798">
        <f>SUBTOTAL(9,B8:B18)</f>
        <v>553</v>
      </c>
      <c r="C19" s="799">
        <f>SUBTOTAL(9,C8:C18)</f>
        <v>579</v>
      </c>
      <c r="D19" s="800">
        <f>SUBTOTAL(9,D8:D18)</f>
        <v>2017</v>
      </c>
    </row>
    <row r="20" spans="1:4" ht="7.5" customHeight="1"/>
    <row r="21" spans="1:4" ht="6" customHeight="1"/>
    <row r="22" spans="1:4">
      <c r="A22" s="391" t="str">
        <f>Criterios!A4</f>
        <v>Fecha Informe: 28 feb. 2025</v>
      </c>
    </row>
    <row r="27" spans="1:4">
      <c r="A27" s="414"/>
    </row>
  </sheetData>
  <sheetProtection algorithmName="SHA-512" hashValue="OFBMqB+E+ap1j1pcxyxoMPVFfX5dJK18yfSeEYJJ2TXToeBea8oglzdUu3usbiB2dRHP3XKklZFg0GEb/4NumQ==" saltValue="HnkZOYkNmRW+VhieINQ8B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GERNIKA-LUMO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0.45833333333333331</v>
      </c>
      <c r="C10" s="456">
        <f>IF(ISNUMBER((Datos!J10-Datos!T10)/Datos!T10),(Datos!J10-Datos!T10)/Datos!T10," - ")</f>
        <v>-0.53488372093023251</v>
      </c>
      <c r="D10" s="456">
        <f>IF(ISNUMBER((Datos!K10-Datos!U10)/Datos!U10),(Datos!K10-Datos!U10)/Datos!U10," - ")</f>
        <v>-0.3125</v>
      </c>
      <c r="E10" s="456">
        <f>IF(ISNUMBER((Datos!L10-Datos!V10)/Datos!V10),(Datos!L10-Datos!V10)/Datos!V10," - ")</f>
        <v>-0.34285714285714286</v>
      </c>
      <c r="F10" s="456">
        <f>IF(ISNUMBER((Datos!M10-Datos!W10)/Datos!W10),(Datos!M10-Datos!W10)/Datos!W10," - ")</f>
        <v>-0.14285714285714285</v>
      </c>
      <c r="G10" s="457">
        <f>IF(ISNUMBER((Datos!N10-Datos!X10)/Datos!X10),(Datos!N10-Datos!X10)/Datos!X10," - ")</f>
        <v>-0.42857142857142855</v>
      </c>
      <c r="H10" s="455">
        <f>IF(ISNUMBER(((NºAsuntos!G10/NºAsuntos!E10)-Datos!BD10)/Datos!BD10),((NºAsuntos!G10/NºAsuntos!E10)-Datos!BD10)/Datos!BD10," - ")</f>
        <v>0.47812500000000013</v>
      </c>
      <c r="I10" s="456">
        <f>IF(ISNUMBER(((NºAsuntos!I10/NºAsuntos!G10)-Datos!BE10)/Datos!BE10),((NºAsuntos!I10/NºAsuntos!G10)-Datos!BE10)/Datos!BE10," - ")</f>
        <v>-4.4155844155844191E-2</v>
      </c>
      <c r="J10" s="461">
        <f>IF(ISNUMBER((('Resol  Asuntos'!D10/NºAsuntos!G10)-Datos!BF10)/Datos!BF10),(('Resol  Asuntos'!D10/NºAsuntos!G10)-Datos!BF10)/Datos!BF10," - ")</f>
        <v>0.24675324675324667</v>
      </c>
      <c r="K10" s="462">
        <f>IF(ISNUMBER((((NºAsuntos!C10+NºAsuntos!E10)/NºAsuntos!G10)-Datos!BG10)/Datos!BG10),(((NºAsuntos!C10+NºAsuntos!E10)/NºAsuntos!G10)-Datos!BG10)/Datos!BG10," - ")</f>
        <v>0.19402985074626866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-1.3168724279835391E-2</v>
      </c>
      <c r="C12" s="456">
        <f>IF(ISNUMBER(
   IF(J_V="SI",(Datos!J12-Datos!T12)/Datos!T12,(Datos!J12+Datos!Z12-(Datos!T12+Datos!AH12))/(Datos!T12+Datos!AH12))
     ),IF(J_V="SI",(Datos!J12-Datos!T12)/Datos!T12,(Datos!J12+Datos!Z12-(Datos!T12+Datos!AH12))/(Datos!T12+Datos!AH12))," - ")</f>
        <v>0.1908713692946058</v>
      </c>
      <c r="D12" s="456">
        <f>IF(ISNUMBER(
   IF(J_V="SI",(Datos!K12-Datos!U12)/Datos!U12,(Datos!K12+Datos!AA12-(Datos!U12+Datos!AI12))/(Datos!U12+Datos!AI12))
     ),IF(J_V="SI",(Datos!K12-Datos!U12)/Datos!U12,(Datos!K12+Datos!AA12-(Datos!U12+Datos!AI12))/(Datos!U12+Datos!AI12))," - ")</f>
        <v>0.19586206896551725</v>
      </c>
      <c r="E12" s="456">
        <f>IF(ISNUMBER(
   IF(J_V="SI",(Datos!L12-Datos!V12)/Datos!V12,(Datos!L12+Datos!AB12-(Datos!V12+Datos!AJ12))/(Datos!V12+Datos!AJ12))
     ),IF(J_V="SI",(Datos!L12-Datos!V12)/Datos!V12,(Datos!L12+Datos!AB12-(Datos!V12+Datos!AJ12))/(Datos!V12+Datos!AJ12))," - ")</f>
        <v>-1.5012510425354461E-2</v>
      </c>
      <c r="F12" s="456">
        <f>IF(ISNUMBER((Datos!M12-Datos!W12)/Datos!W12),(Datos!M12-Datos!W12)/Datos!W12," - ")</f>
        <v>0.30122950819672129</v>
      </c>
      <c r="G12" s="457">
        <f>IF(ISNUMBER((Datos!N12-Datos!X12)/Datos!X12),(Datos!N12-Datos!X12)/Datos!X12," - ")</f>
        <v>0.27272727272727271</v>
      </c>
      <c r="H12" s="455">
        <f>IF(ISNUMBER(((NºAsuntos!G12/NºAsuntos!E12)-Datos!BD12)/Datos!BD12),((NºAsuntos!G12/NºAsuntos!E12)-Datos!BD12)/Datos!BD12," - ")</f>
        <v>4.190796587768786E-3</v>
      </c>
      <c r="I12" s="456">
        <f>IF(ISNUMBER(((NºAsuntos!I12/NºAsuntos!G12)-Datos!BE12)/Datos!BE12),((NºAsuntos!I12/NºAsuntos!G12)-Datos!BE12)/Datos!BE12," - ")</f>
        <v>-0.17633687434646145</v>
      </c>
      <c r="J12" s="461">
        <f>IF(ISNUMBER((('Resol  Asuntos'!D12/NºAsuntos!G12)-Datos!BF12)/Datos!BF12),(('Resol  Asuntos'!D12/NºAsuntos!G12)-Datos!BF12)/Datos!BF12," - ")</f>
        <v>-0.37308418749123368</v>
      </c>
      <c r="K12" s="462">
        <f>IF(ISNUMBER((((NºAsuntos!C12+NºAsuntos!E12)/NºAsuntos!G12)-Datos!BG12)/Datos!BG12),(((NºAsuntos!C12+NºAsuntos!E12)/NºAsuntos!G12)-Datos!BG12)/Datos!BG12," - ")</f>
        <v>-6.5433780242732498E-2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-4.0355125100887809E-3</v>
      </c>
      <c r="C13" s="855">
        <f>IF(ISNUMBER(
   IF(J_V="SI",(Datos!J13-Datos!T13)/Datos!T13,(Datos!J13+Datos!Z13-(Datos!T13+Datos!AH13))/(Datos!T13+Datos!AH13))
     ),IF(J_V="SI",(Datos!J13-Datos!T13)/Datos!T13,(Datos!J13+Datos!Z13-(Datos!T13+Datos!AH13))/(Datos!T13+Datos!AH13))," - ")</f>
        <v>0.1767631103074141</v>
      </c>
      <c r="D13" s="855">
        <f>IF(ISNUMBER(
   IF(J_V="SI",(Datos!K13-Datos!U13)/Datos!U13,(Datos!K13+Datos!AA13-(Datos!U13+Datos!AI13))/(Datos!U13+Datos!AI13))
     ),IF(J_V="SI",(Datos!K13-Datos!U13)/Datos!U13,(Datos!K13+Datos!AA13-(Datos!U13+Datos!AI13))/(Datos!U13+Datos!AI13))," - ")</f>
        <v>0.18849116447666517</v>
      </c>
      <c r="E13" s="855">
        <f>IF(ISNUMBER(
   IF(J_V="SI",(Datos!L13-Datos!V13)/Datos!V13,(Datos!L13+Datos!AB13-(Datos!V13+Datos!AJ13))/(Datos!V13+Datos!AJ13))
     ),IF(J_V="SI",(Datos!L13-Datos!V13)/Datos!V13,(Datos!L13+Datos!AB13-(Datos!V13+Datos!AJ13))/(Datos!V13+Datos!AJ13))," - ")</f>
        <v>-2.4311183144246355E-2</v>
      </c>
      <c r="F13" s="856">
        <f>IF(ISNUMBER((Datos!M13-Datos!W13)/Datos!W13),(Datos!M13-Datos!W13)/Datos!W13," - ")</f>
        <v>0.28884462151394424</v>
      </c>
      <c r="G13" s="857">
        <f>IF(ISNUMBER((Datos!N13-Datos!X13)/Datos!X13),(Datos!N13-Datos!X13)/Datos!X13," - ")</f>
        <v>0.26132404181184671</v>
      </c>
      <c r="H13" s="857">
        <f>IF(ISNUMBER(((NºAsuntos!G13/NºAsuntos!E13)-Datos!BD13)/Datos!BD13),((NºAsuntos!G13/NºAsuntos!E13)-Datos!BD13)/Datos!BD13," - ")</f>
        <v>9.9663679686450551E-3</v>
      </c>
      <c r="I13" s="857">
        <f>IF(ISNUMBER(((NºAsuntos!I13/NºAsuntos!G13)-Datos!BE13)/Datos!BE13),((NºAsuntos!I13/NºAsuntos!G13)-Datos!BE13)/Datos!BE13," - ")</f>
        <v>-0.179052528097351</v>
      </c>
      <c r="J13" s="857">
        <f>IF(ISNUMBER((('Resol  Asuntos'!D13/NºAsuntos!G13)-Datos!BF13)/Datos!BF13),(('Resol  Asuntos'!D13/NºAsuntos!G13)-Datos!BF13)/Datos!BF13," - ")</f>
        <v>-0.36772622069666039</v>
      </c>
      <c r="K13" s="857">
        <f>IF(ISNUMBER((((NºAsuntos!C13+NºAsuntos!E13)/NºAsuntos!G13)-Datos!BG13)/Datos!BG13),(((NºAsuntos!C13+NºAsuntos!E13)/NºAsuntos!G13)-Datos!BG13)/Datos!BG13," - ")</f>
        <v>-6.4484726147548244E-2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0.2889963724304716</v>
      </c>
      <c r="C16" s="456">
        <f>IF(ISNUMBER(
   IF(D_I="SI",(Datos!J16-Datos!T16)/Datos!T16,(Datos!J16+Datos!AD16-(Datos!T16+Datos!AL16))/(Datos!T16+Datos!AL16))
     ),IF(D_I="SI",(Datos!J16-Datos!T16)/Datos!T16,(Datos!J16+Datos!AD16-(Datos!T16+Datos!AL16))/(Datos!T16+Datos!AL16))," - ")</f>
        <v>0.25224215246636772</v>
      </c>
      <c r="D16" s="456">
        <f>IF(ISNUMBER(
   IF(D_I="SI",(Datos!K16-Datos!U16)/Datos!U16,(Datos!K16+Datos!AE16-(Datos!U16+Datos!AM16))/(Datos!U16+Datos!AM16))
     ),IF(D_I="SI",(Datos!K16-Datos!U16)/Datos!U16,(Datos!K16+Datos!AE16-(Datos!U16+Datos!AM16))/(Datos!U16+Datos!AM16))," - ")</f>
        <v>0.45542014111610007</v>
      </c>
      <c r="E16" s="456">
        <f>IF(ISNUMBER(
   IF(D_I="SI",(Datos!L16-Datos!V16)/Datos!V16,(Datos!L16+Datos!AF16-(Datos!V16+Datos!AN16))/(Datos!V16+Datos!AN16))
     ),IF(D_I="SI",(Datos!L16-Datos!V16)/Datos!V16,(Datos!L16+Datos!AF16-(Datos!V16+Datos!AN16))/(Datos!V16+Datos!AN16))," - ")</f>
        <v>-0.13696060037523453</v>
      </c>
      <c r="F16" s="456">
        <f>IF(ISNUMBER((Datos!M16-Datos!W16)/Datos!W16),(Datos!M16-Datos!W16)/Datos!W16," - ")</f>
        <v>0.44054054054054054</v>
      </c>
      <c r="G16" s="457">
        <f>IF(ISNUMBER((Datos!N16-Datos!X16)/Datos!X16),(Datos!N16-Datos!X16)/Datos!X16," - ")</f>
        <v>0.33289124668435011</v>
      </c>
      <c r="H16" s="455">
        <f>IF(ISNUMBER(((NºAsuntos!G16/NºAsuntos!E16)-Datos!BD16)/Datos!BD16),((NºAsuntos!G16/NºAsuntos!E16)-Datos!BD16)/Datos!BD16," - ")</f>
        <v>0.16225135709539937</v>
      </c>
      <c r="I16" s="456">
        <f>IF(ISNUMBER(((NºAsuntos!I16/NºAsuntos!G16)-Datos!BE16)/Datos!BE16),((NºAsuntos!I16/NºAsuntos!G16)-Datos!BE16)/Datos!BE16," - ")</f>
        <v>-0.40701700131555341</v>
      </c>
      <c r="J16" s="461">
        <f>IF(ISNUMBER((('Resol  Asuntos'!D16/NºAsuntos!G16)-Datos!BF16)/Datos!BF16),(('Resol  Asuntos'!D16/NºAsuntos!G16)-Datos!BF16)/Datos!BF16," - ")</f>
        <v>-1.0223577477874607E-2</v>
      </c>
      <c r="K16" s="462">
        <f>IF(ISNUMBER((((NºAsuntos!C16+NºAsuntos!E16)/NºAsuntos!G16)-Datos!BG16)/Datos!BG16),(((NºAsuntos!C16+NºAsuntos!E16)/NºAsuntos!G16)-Datos!BG16)/Datos!BG16," - ")</f>
        <v>-0.13160225435359332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v>
      </c>
      <c r="C17" s="456">
        <f>IF(ISNUMBER(
   IF(D_I="SI",(Datos!J17-Datos!T17)/Datos!T17,(Datos!J17+Datos!AD17-(Datos!T17+Datos!AL17))/(Datos!T17+Datos!AL17))
     ),IF(D_I="SI",(Datos!J17-Datos!T17)/Datos!T17,(Datos!J17+Datos!AD17-(Datos!T17+Datos!AL17))/(Datos!T17+Datos!AL17))," - ")</f>
        <v>0.18181818181818182</v>
      </c>
      <c r="D17" s="456">
        <f>IF(ISNUMBER(
   IF(D_I="SI",(Datos!K17-Datos!U17)/Datos!U17,(Datos!K17+Datos!AE17-(Datos!U17+Datos!AM17))/(Datos!U17+Datos!AM17))
     ),IF(D_I="SI",(Datos!K17-Datos!U17)/Datos!U17,(Datos!K17+Datos!AE17-(Datos!U17+Datos!AM17))/(Datos!U17+Datos!AM17))," - ")</f>
        <v>0.16577540106951871</v>
      </c>
      <c r="E17" s="456">
        <f>IF(ISNUMBER(
   IF(D_I="SI",(Datos!L17-Datos!V17)/Datos!V17,(Datos!L17+Datos!AF17-(Datos!V17+Datos!AN17))/(Datos!V17+Datos!AN17))
     ),IF(D_I="SI",(Datos!L17-Datos!V17)/Datos!V17,(Datos!L17+Datos!AF17-(Datos!V17+Datos!AN17))/(Datos!V17+Datos!AN17))," - ")</f>
        <v>-0.32727272727272727</v>
      </c>
      <c r="F17" s="456">
        <f>IF(ISNUMBER((Datos!M17-Datos!W17)/Datos!W17),(Datos!M17-Datos!W17)/Datos!W17," - ")</f>
        <v>0.31428571428571428</v>
      </c>
      <c r="G17" s="457">
        <f>IF(ISNUMBER((Datos!N17-Datos!X17)/Datos!X17),(Datos!N17-Datos!X17)/Datos!X17," - ")</f>
        <v>1.0638297872340425E-2</v>
      </c>
      <c r="H17" s="455">
        <f>IF(ISNUMBER(((NºAsuntos!G17/NºAsuntos!E17)-Datos!BD17)/Datos!BD17),((NºAsuntos!G17/NºAsuntos!E17)-Datos!BD17)/Datos!BD17," - ")</f>
        <v>-1.3574660633484167E-2</v>
      </c>
      <c r="I17" s="456">
        <f>IF(ISNUMBER(((NºAsuntos!I17/NºAsuntos!G17)-Datos!BE17)/Datos!BE17),((NºAsuntos!I17/NºAsuntos!G17)-Datos!BE17)/Datos!BE17," - ")</f>
        <v>-0.42293577981651376</v>
      </c>
      <c r="J17" s="461">
        <f>IF(ISNUMBER((('Resol  Asuntos'!D17/NºAsuntos!G17)-Datos!BF17)/Datos!BF17),(('Resol  Asuntos'!D17/NºAsuntos!G17)-Datos!BF17)/Datos!BF17," - ")</f>
        <v>0.12739187418086509</v>
      </c>
      <c r="K17" s="462">
        <f>IF(ISNUMBER((((NºAsuntos!C17+NºAsuntos!E17)/NºAsuntos!G17)-Datos!BG17)/Datos!BG17),(((NºAsuntos!C17+NºAsuntos!E17)/NºAsuntos!G17)-Datos!BG17)/Datos!BG17," - ")</f>
        <v>3.1090723751274311E-2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0.28524590163934427</v>
      </c>
      <c r="C18" s="855">
        <f>IF(ISNUMBER(
   IF(Criterios!B14="SI",(Datos!J18-Datos!T18)/Datos!T18,(Datos!J18+Datos!AD18-(Datos!T18+Datos!AL18))/(Datos!T18+Datos!AL18))
     ),IF(Criterios!B14="SI",(Datos!J18-Datos!T18)/Datos!T18,(Datos!J18+Datos!AD18-(Datos!T18+Datos!AL18))/(Datos!T18+Datos!AL18))," - ")</f>
        <v>0.24485699949824385</v>
      </c>
      <c r="D18" s="855">
        <f>IF(ISNUMBER(
   IF(Criterios!B14="SI",(Datos!K18-Datos!U18)/Datos!U18,(Datos!K18+Datos!AE18-(Datos!U18+Datos!AM18))/(Datos!U18+Datos!AM18))
     ),IF(Criterios!B14="SI",(Datos!K18-Datos!U18)/Datos!U18,(Datos!K18+Datos!AE18-(Datos!U18+Datos!AM18))/(Datos!U18+Datos!AM18))," - ")</f>
        <v>0.42439862542955326</v>
      </c>
      <c r="E18" s="855">
        <f>IF(ISNUMBER(
   IF(Criterios!B14="SI",(Datos!L18-Datos!V18)/Datos!V18,(Datos!L18+Datos!AF18-(Datos!V18+Datos!AN18))/(Datos!V18+Datos!AN18))
     ),IF(Criterios!B14="SI",(Datos!L18-Datos!V18)/Datos!V18,(Datos!L18+Datos!AF18-(Datos!V18+Datos!AN18))/(Datos!V18+Datos!AN18))," - ")</f>
        <v>-0.15476190476190477</v>
      </c>
      <c r="F18" s="856">
        <f>IF(ISNUMBER((Datos!M18-Datos!W18)/Datos!W18),(Datos!M18-Datos!W18)/Datos!W18," - ")</f>
        <v>0.42962962962962964</v>
      </c>
      <c r="G18" s="857">
        <f>IF(ISNUMBER((Datos!N18-Datos!X18)/Datos!X18),(Datos!N18-Datos!X18)/Datos!X18," - ")</f>
        <v>0.29716981132075471</v>
      </c>
      <c r="H18" s="857">
        <f>IF(ISNUMBER(((NºAsuntos!G18/NºAsuntos!E18)-Datos!BD18)/Datos!BD18),((NºAsuntos!G18/NºAsuntos!E18)-Datos!BD18)/Datos!BD18," - ")</f>
        <v>0.14422670716690825</v>
      </c>
      <c r="I18" s="857">
        <f>IF(ISNUMBER(((NºAsuntos!I18/NºAsuntos!G18)-Datos!BE18)/Datos!BE18),((NºAsuntos!I18/NºAsuntos!G18)-Datos!BE18)/Datos!BE18," - ")</f>
        <v>-0.40660003446493198</v>
      </c>
      <c r="J18" s="857">
        <f>IF(ISNUMBER((('Resol  Asuntos'!D18/NºAsuntos!G18)-Datos!BF18)/Datos!BF18),(('Resol  Asuntos'!D18/NºAsuntos!G18)-Datos!BF18)/Datos!BF18," - ")</f>
        <v>3.6724299691729941E-3</v>
      </c>
      <c r="K18" s="857">
        <f>IF(ISNUMBER((((NºAsuntos!C18+NºAsuntos!E18)/NºAsuntos!G18)-Datos!BG18)/Datos!BG18),(((NºAsuntos!C18+NºAsuntos!E18)/NºAsuntos!G18)-Datos!BG18)/Datos!BG18," - ")</f>
        <v>-0.11712542082653735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0.11884865366759517</v>
      </c>
      <c r="C19" s="802">
        <f>IF(ISNUMBER(
   IF(J_V="SI",(Datos!J19-Datos!T19)/Datos!T19,(Datos!J19+Datos!Z19-(Datos!T19+Datos!AH19))/(Datos!T19+Datos!AH19))
     ),IF(J_V="SI",(Datos!J19-Datos!T19)/Datos!T19,(Datos!J19+Datos!Z19-(Datos!T19+Datos!AH19))/(Datos!T19+Datos!AH19))," - ")</f>
        <v>0.20903686087990486</v>
      </c>
      <c r="D19" s="802">
        <f>IF(ISNUMBER(
   IF(J_V="SI",(Datos!K19-Datos!U19)/Datos!U19,(Datos!K19+Datos!AA19-(Datos!U19+Datos!AI19))/(Datos!U19+Datos!AI19))
     ),IF(J_V="SI",(Datos!K19-Datos!U19)/Datos!U19,(Datos!K19+Datos!AA19-(Datos!U19+Datos!AI19))/(Datos!U19+Datos!AI19))," - ")</f>
        <v>0.29268909688843914</v>
      </c>
      <c r="E19" s="802">
        <f>IF(ISNUMBER(
   IF(J_V="SI",(Datos!L19-Datos!V19)/Datos!V19,(Datos!L19+Datos!AB19-(Datos!V19+Datos!AJ19))/(Datos!V19+Datos!AJ19))
     ),IF(J_V="SI",(Datos!L19-Datos!V19)/Datos!V19,(Datos!L19+Datos!AB19-(Datos!V19+Datos!AJ19))/(Datos!V19+Datos!AJ19))," - ")</f>
        <v>-8.7966804979253119E-2</v>
      </c>
      <c r="F19" s="803">
        <f>IF(ISNUMBER((Datos!M19-Datos!W19)/Datos!W19),(Datos!M19-Datos!W19)/Datos!W19," - ")</f>
        <v>0.35170893054024255</v>
      </c>
      <c r="G19" s="804">
        <f>IF(ISNUMBER((Datos!N19-Datos!X19)/Datos!X19),(Datos!N19-Datos!X19)/Datos!X19," - ")</f>
        <v>0.27911059098888241</v>
      </c>
      <c r="H19" s="805">
        <f>IF(ISNUMBER((Tasas!B19-Datos!BD19)/Datos!BD19),(Tasas!B19-Datos!BD19)/Datos!BD19," - ")</f>
        <v>6.9189152717523017E-2</v>
      </c>
      <c r="I19" s="806">
        <f>IF(ISNUMBER((Tasas!C19-Datos!BE19)/Datos!BE19),(Tasas!C19-Datos!BE19)/Datos!BE19," - ")</f>
        <v>-0.29446825441937136</v>
      </c>
      <c r="J19" s="807">
        <f>IF(ISNUMBER((Tasas!D19-Datos!BF19)/Datos!BF19),(Tasas!D19-Datos!BF19)/Datos!BF19," - ")</f>
        <v>-0.25086053118903867</v>
      </c>
      <c r="K19" s="807">
        <f>IF(ISNUMBER((Tasas!E19-Datos!BG19)/Datos!BG19),(Tasas!E19-Datos!BG19)/Datos!BG19," - ")</f>
        <v>-8.8344454706013195E-2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FNXlJLh7V3Jha+u5IT1OfiEZ/z9Wtxuh3QWsL/HIkvgkfVfAjYc7vOARB30ZtEg/BH3+jqy1S0+ebt6ggGWYQ==" saltValue="5yhSkijIFekPEs+7OV2eB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GERNIKA-LUMO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1.1000000000000001</v>
      </c>
      <c r="C10" s="443">
        <f>IF(ISNUMBER(NºAsuntos!I10/NºAsuntos!G10),NºAsuntos!I10/NºAsuntos!G10," - ")</f>
        <v>1.0454545454545454</v>
      </c>
      <c r="D10" s="444">
        <f>IF(ISNUMBER('Resol  Asuntos'!D10/NºAsuntos!G10),'Resol  Asuntos'!D10/NºAsuntos!G10," - ")</f>
        <v>0.54545454545454541</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1.0069686411149825</v>
      </c>
      <c r="C12" s="443">
        <f>IF(ISNUMBER(NºAsuntos!I12/NºAsuntos!G12),NºAsuntos!I12/NºAsuntos!G12," - ")</f>
        <v>0.45405613225682429</v>
      </c>
      <c r="D12" s="444">
        <f>IF(ISNUMBER('Resol  Asuntos'!D12/NºAsuntos!G12),'Resol  Asuntos'!D12/NºAsuntos!G12," - ")</f>
        <v>0.24413687043444829</v>
      </c>
      <c r="E12" s="445">
        <f>IF(ISNUMBER((NºAsuntos!C12+NºAsuntos!E12)/NºAsuntos!G12),(NºAsuntos!C12+NºAsuntos!E12)/NºAsuntos!G12," - ")</f>
        <v>1.4540561322568244</v>
      </c>
      <c r="G12" s="463"/>
    </row>
    <row r="13" spans="1:7" ht="14.25" thickTop="1" thickBot="1">
      <c r="A13" s="848" t="str">
        <f>Datos!A13</f>
        <v>TOTAL</v>
      </c>
      <c r="B13" s="858">
        <f>IF(ISNUMBER(NºAsuntos!G13/NºAsuntos!E13),NºAsuntos!G13/NºAsuntos!E13," - ")</f>
        <v>1.0076834421820975</v>
      </c>
      <c r="C13" s="859">
        <f>IF(ISNUMBER(NºAsuntos!I13/NºAsuntos!G13),NºAsuntos!I13/NºAsuntos!G13," - ")</f>
        <v>0.45901639344262296</v>
      </c>
      <c r="D13" s="860">
        <f>IF(ISNUMBER('Resol  Asuntos'!D13/NºAsuntos!G13),'Resol  Asuntos'!D13/NºAsuntos!G13," - ")</f>
        <v>0.24666412504765536</v>
      </c>
      <c r="E13" s="861">
        <f>IF(ISNUMBER((NºAsuntos!C13+NºAsuntos!E13)/NºAsuntos!G13),(NºAsuntos!C13+NºAsuntos!E13)/NºAsuntos!G13," - ")</f>
        <v>1.4628288219595882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1.0156669650850492</v>
      </c>
      <c r="C16" s="443">
        <f>IF(ISNUMBER(NºAsuntos!I16/NºAsuntos!G16),NºAsuntos!I16/NºAsuntos!G16," - ")</f>
        <v>0.40546496253856323</v>
      </c>
      <c r="D16" s="444">
        <f>IF(ISNUMBER('Resol  Asuntos'!D16/NºAsuntos!G16),'Resol  Asuntos'!D16/NºAsuntos!G16," - ")</f>
        <v>0.23490524460114587</v>
      </c>
      <c r="E16" s="445">
        <f>IF(ISNUMBER((NºAsuntos!C16+NºAsuntos!E16)/NºAsuntos!G16),(NºAsuntos!C16+NºAsuntos!E16)/NºAsuntos!G16," - ")</f>
        <v>1.4543851917144117</v>
      </c>
      <c r="G16" s="463"/>
    </row>
    <row r="17" spans="1:7" ht="13.5" thickBot="1">
      <c r="A17" s="402" t="str">
        <f>Datos!A17</f>
        <v>Jdos. Violencia contra la mujer</v>
      </c>
      <c r="B17" s="442">
        <f>IF(ISNUMBER(NºAsuntos!G17/NºAsuntos!E17),NºAsuntos!G17/NºAsuntos!E17," - ")</f>
        <v>0.88259109311740891</v>
      </c>
      <c r="C17" s="443">
        <f>IF(ISNUMBER(NºAsuntos!I17/NºAsuntos!G17),NºAsuntos!I17/NºAsuntos!G17," - ")</f>
        <v>0.33944954128440369</v>
      </c>
      <c r="D17" s="444">
        <f>IF(ISNUMBER('Resol  Asuntos'!D17/NºAsuntos!G17),'Resol  Asuntos'!D17/NºAsuntos!G17," - ")</f>
        <v>0.21100917431192662</v>
      </c>
      <c r="E17" s="445">
        <f>IF(ISNUMBER((NºAsuntos!C17+NºAsuntos!E17)/NºAsuntos!G17),(NºAsuntos!C17+NºAsuntos!E17)/NºAsuntos!G17," - ")</f>
        <v>1.6376146788990826</v>
      </c>
      <c r="G17" s="463"/>
    </row>
    <row r="18" spans="1:7" ht="14.25" thickTop="1" thickBot="1">
      <c r="A18" s="848" t="str">
        <f>Datos!A18</f>
        <v>TOTAL</v>
      </c>
      <c r="B18" s="858">
        <f>IF(ISNUMBER(NºAsuntos!G18/NºAsuntos!E18),NºAsuntos!G18/NºAsuntos!E18," - ")</f>
        <v>1.0024183796856105</v>
      </c>
      <c r="C18" s="859">
        <f>IF(ISNUMBER(NºAsuntos!I18/NºAsuntos!G18),NºAsuntos!I18/NºAsuntos!G18," - ")</f>
        <v>0.39967832730197023</v>
      </c>
      <c r="D18" s="862">
        <f>IF(ISNUMBER('Resol  Asuntos'!D18/NºAsuntos!G18),'Resol  Asuntos'!D18/NºAsuntos!G18," - ")</f>
        <v>0.23281061519903498</v>
      </c>
      <c r="E18" s="861">
        <f>IF(ISNUMBER((NºAsuntos!C18+NºAsuntos!E18)/NºAsuntos!G18),(NºAsuntos!C18+NºAsuntos!E18)/NºAsuntos!G18," - ")</f>
        <v>1.4704463208685163</v>
      </c>
      <c r="G18" s="463"/>
    </row>
    <row r="19" spans="1:7" ht="15.75" customHeight="1" thickTop="1" thickBot="1">
      <c r="A19" s="793" t="str">
        <f>Datos!A19</f>
        <v>TOTAL JURISDICCIONES</v>
      </c>
      <c r="B19" s="808">
        <f>IF(ISNUMBER(NºAsuntos!G19/NºAsuntos!E19),NºAsuntos!G19/NºAsuntos!E19," - ")</f>
        <v>1.0051140833988985</v>
      </c>
      <c r="C19" s="809">
        <f>IF(ISNUMBER(NºAsuntos!I19/NºAsuntos!G19),NºAsuntos!I19/NºAsuntos!G19," - ")</f>
        <v>0.43013698630136987</v>
      </c>
      <c r="D19" s="810">
        <f>IF(ISNUMBER('Resol  Asuntos'!D19/NºAsuntos!G19),'Resol  Asuntos'!D19/NºAsuntos!G19," - ")</f>
        <v>0.23992172211350293</v>
      </c>
      <c r="E19" s="811">
        <f>IF(ISNUMBER((NºAsuntos!C19+NºAsuntos!E19)/NºAsuntos!G19),(NºAsuntos!C19+NºAsuntos!E19)/NºAsuntos!G19," - ")</f>
        <v>1.4665362035225049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2gYJib1ixIuDEm2GaZiM55Bj3toD4EyMbJapslQHoDrjMwIFrHCvikI5TdrfIaq1mJYgvHumV10fKEW12L0fw==" saltValue="ksNvhVFr0spbdgapxykfH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GERNIKA-LUMO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25</v>
      </c>
      <c r="G10" s="333">
        <f>IF(ISNUMBER(Datos!I10),Datos!I10," - ")</f>
        <v>35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22</v>
      </c>
      <c r="X10" s="226">
        <f>IF(ISNUMBER(Datos!Q10),Datos!Q10," - ")</f>
        <v>18</v>
      </c>
      <c r="Y10" s="334">
        <f t="shared" ref="Y10:Y12" si="0">SUM(W10:X10)</f>
        <v>40</v>
      </c>
      <c r="Z10" s="335" t="str">
        <f>IF(ISNUMBER(Datos!CC10),Datos!CC10," - ")</f>
        <v xml:space="preserve"> - </v>
      </c>
      <c r="AA10" s="332">
        <f>IF(ISNUMBER(Datos!L10),Datos!L10,"-")</f>
        <v>23</v>
      </c>
      <c r="AB10" s="334">
        <f>IF(ISNUMBER(Datos!R10),Datos!R10," - ")</f>
        <v>5</v>
      </c>
      <c r="AC10" s="334">
        <f t="shared" ref="AC10:AC12" si="1">IF(ISNUMBER(AA10+AB10),AA10+AB10," - ")</f>
        <v>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1.1000000000000001</v>
      </c>
      <c r="AM10" s="260">
        <f>IF(ISNUMBER(((NºAsuntos!I10/NºAsuntos!G10)*11)/factor_trimestre),((NºAsuntos!I10/NºAsuntos!G10)*11)/factor_trimestre," - ")</f>
        <v>11.5</v>
      </c>
      <c r="AN10" s="244">
        <f>IF(ISNUMBER('Resol  Asuntos'!D10/NºAsuntos!G10),'Resol  Asuntos'!D10/NºAsuntos!G10," - ")</f>
        <v>0.54545454545454541</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432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470</v>
      </c>
      <c r="Y12" s="334">
        <f t="shared" si="0"/>
        <v>470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1739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635</v>
      </c>
      <c r="AJ12" s="229" t="str">
        <f>IF(ISNUMBER(Datos!BW12),Datos!BW12," - ")</f>
        <v xml:space="preserve"> - </v>
      </c>
      <c r="AK12" s="228" t="str">
        <f>IF(ISNUMBER(Datos!BX12),Datos!BX12," - ")</f>
        <v xml:space="preserve"> - </v>
      </c>
      <c r="AL12" s="243">
        <f>IF(ISNUMBER(NºAsuntos!G12/NºAsuntos!E12),NºAsuntos!G12/NºAsuntos!E12," - ")</f>
        <v>1.0069686411149825</v>
      </c>
      <c r="AM12" s="260">
        <f>IF(ISNUMBER(((NºAsuntos!I12/NºAsuntos!G12)*11)/factor_trimestre),((NºAsuntos!I12/NºAsuntos!G12)*11)/factor_trimestre," - ")</f>
        <v>4.9946174548250672</v>
      </c>
      <c r="AN12" s="244">
        <f>IF(ISNUMBER('Resol  Asuntos'!D12/NºAsuntos!G12),'Resol  Asuntos'!D12/NºAsuntos!G12," - ")</f>
        <v>0.24413687043444829</v>
      </c>
      <c r="AO12" s="245">
        <f>IF(ISNUMBER((NºAsuntos!C12+NºAsuntos!E12)/NºAsuntos!G12),(NºAsuntos!C12+NºAsuntos!E12)/NºAsuntos!G12," - ")</f>
        <v>1.4540561322568244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25</v>
      </c>
      <c r="G13" s="866">
        <f t="shared" si="3"/>
        <v>35</v>
      </c>
      <c r="H13" s="865">
        <f t="shared" si="3"/>
        <v>0</v>
      </c>
      <c r="I13" s="867">
        <f t="shared" si="3"/>
        <v>0</v>
      </c>
      <c r="J13" s="867">
        <f t="shared" si="3"/>
        <v>0</v>
      </c>
      <c r="K13" s="867">
        <f t="shared" si="3"/>
        <v>0</v>
      </c>
      <c r="L13" s="867">
        <f t="shared" si="3"/>
        <v>438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22</v>
      </c>
      <c r="X13" s="867">
        <f t="shared" si="4"/>
        <v>488</v>
      </c>
      <c r="Y13" s="868">
        <f t="shared" si="4"/>
        <v>510</v>
      </c>
      <c r="Z13" s="868">
        <f t="shared" si="4"/>
        <v>0</v>
      </c>
      <c r="AA13" s="868">
        <f t="shared" si="4"/>
        <v>23</v>
      </c>
      <c r="AB13" s="868">
        <f t="shared" si="4"/>
        <v>1744</v>
      </c>
      <c r="AC13" s="868">
        <f t="shared" si="4"/>
        <v>28</v>
      </c>
      <c r="AD13" s="868">
        <f t="shared" si="4"/>
        <v>0</v>
      </c>
      <c r="AE13" s="872">
        <f t="shared" si="4"/>
        <v>0</v>
      </c>
      <c r="AF13" s="865">
        <f t="shared" si="4"/>
        <v>0</v>
      </c>
      <c r="AG13" s="873">
        <f t="shared" si="4"/>
        <v>0</v>
      </c>
      <c r="AH13" s="870">
        <f t="shared" si="4"/>
        <v>0</v>
      </c>
      <c r="AI13" s="865">
        <f t="shared" si="4"/>
        <v>647</v>
      </c>
      <c r="AJ13" s="867">
        <f t="shared" si="4"/>
        <v>0</v>
      </c>
      <c r="AK13" s="870">
        <f>SUBTOTAL(9,AK9:AK12)</f>
        <v>0</v>
      </c>
      <c r="AL13" s="874">
        <f>IF(ISNUMBER(NºAsuntos!G13/NºAsuntos!E13),NºAsuntos!G13/NºAsuntos!E13," - ")</f>
        <v>1.0076834421820975</v>
      </c>
      <c r="AM13" s="874">
        <f>IF(ISNUMBER(((NºAsuntos!I13/NºAsuntos!G13)*11)/factor_trimestre),((NºAsuntos!I13/NºAsuntos!G13)*11)/factor_trimestre," - ")</f>
        <v>5.0491803278688527</v>
      </c>
      <c r="AN13" s="875">
        <f>IF(ISNUMBER('Resol  Asuntos'!D13/NºAsuntos!G13),'Resol  Asuntos'!D13/NºAsuntos!G13," - ")</f>
        <v>0.24666412504765536</v>
      </c>
      <c r="AO13" s="876">
        <f>IF(ISNUMBER((NºAsuntos!C13+NºAsuntos!E13)/NºAsuntos!G13),(NºAsuntos!C13+NºAsuntos!E13)/NºAsuntos!G13," - ")</f>
        <v>1.4628288219595882</v>
      </c>
      <c r="AP13" s="877" t="str">
        <f t="shared" si="2"/>
        <v xml:space="preserve"> - </v>
      </c>
      <c r="AQ13" s="877">
        <f>IF(ISNUMBER((H13-W13+K13)/(F13)),(H13-W13+K13)/(F13)," - ")</f>
        <v>-0.88</v>
      </c>
      <c r="AR13" s="878">
        <f>IF(ISNUMBER((Datos!P13-Datos!Q13)/(Datos!R13-Datos!P13+Datos!Q13)),(Datos!P13-Datos!Q13)/(Datos!R13-Datos!P13+Datos!Q13)," - ")</f>
        <v>-2.7870680044593088E-2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955</v>
      </c>
      <c r="G16" s="333">
        <f>IF(ISNUMBER(IF(D_I="SI",Datos!I16,Datos!I16+Datos!AC16)),IF(D_I="SI",Datos!I16,Datos!I16+Datos!AC16)," - ")</f>
        <v>1066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2269</v>
      </c>
      <c r="X16" s="226">
        <f>IF(ISNUMBER(Datos!Q16),Datos!Q16," - ")</f>
        <v>71</v>
      </c>
      <c r="Y16" s="334">
        <f t="shared" ref="Y16:Y17" si="7">SUM(W16:X16)</f>
        <v>2340</v>
      </c>
      <c r="Z16" s="335" t="str">
        <f>IF(ISNUMBER(Datos!CC16),Datos!CC16," - ")</f>
        <v xml:space="preserve"> - </v>
      </c>
      <c r="AA16" s="332">
        <f>IF(ISNUMBER(IF(D_I="SI",Datos!L16,Datos!L16+Datos!AF16)),IF(D_I="SI",Datos!L16,Datos!L16+Datos!AF16)," - ")</f>
        <v>920</v>
      </c>
      <c r="AB16" s="334">
        <f>IF(ISNUMBER(Datos!R16),Datos!R16," - ")</f>
        <v>267</v>
      </c>
      <c r="AC16" s="334">
        <f t="shared" si="6"/>
        <v>1187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533</v>
      </c>
      <c r="AJ16" s="231" t="str">
        <f>IF(ISNUMBER(Datos!BW16),Datos!BW16," - ")</f>
        <v xml:space="preserve"> - </v>
      </c>
      <c r="AK16" s="232" t="str">
        <f>IF(ISNUMBER(Datos!BX16),Datos!BX16," - ")</f>
        <v xml:space="preserve"> - </v>
      </c>
      <c r="AL16" s="243">
        <f>IF(ISNUMBER(NºAsuntos!G16/NºAsuntos!E16),NºAsuntos!G16/NºAsuntos!E16," - ")</f>
        <v>1.0156669650850492</v>
      </c>
      <c r="AM16" s="260">
        <f>IF(ISNUMBER(((NºAsuntos!I16/NºAsuntos!G16)*11)/factor_trimestre),((NºAsuntos!I16/NºAsuntos!G16)*11)/factor_trimestre," - ")</f>
        <v>4.4601145879241955</v>
      </c>
      <c r="AN16" s="244">
        <f>IF(ISNUMBER('Resol  Asuntos'!D16/NºAsuntos!G16),'Resol  Asuntos'!D16/NºAsuntos!G16," - ")</f>
        <v>0.23490524460114587</v>
      </c>
      <c r="AO16" s="245">
        <f>IF(ISNUMBER((NºAsuntos!C16+NºAsuntos!E16)/NºAsuntos!G16),(NºAsuntos!C16+NºAsuntos!E16)/NºAsuntos!G16," - ")</f>
        <v>1.4543851917144117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218</v>
      </c>
      <c r="X17" s="226">
        <f>IF(ISNUMBER(Datos!Q17),Datos!Q17," - ")</f>
        <v>20</v>
      </c>
      <c r="Y17" s="334">
        <f t="shared" si="7"/>
        <v>238</v>
      </c>
      <c r="Z17" s="335" t="str">
        <f>IF(ISNUMBER(Datos!CC17),Datos!CC17," - ")</f>
        <v xml:space="preserve"> - </v>
      </c>
      <c r="AA17" s="332">
        <f>IF(ISNUMBER(Datos!L17),Datos!L17,"-")</f>
        <v>74</v>
      </c>
      <c r="AB17" s="334">
        <f>IF(ISNUMBER(Datos!R17),Datos!R17," - ")</f>
        <v>6</v>
      </c>
      <c r="AC17" s="334">
        <f t="shared" si="6"/>
        <v>80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46</v>
      </c>
      <c r="AJ17" s="231" t="str">
        <f>IF(ISNUMBER(Datos!BW17),Datos!BW17," - ")</f>
        <v xml:space="preserve"> - </v>
      </c>
      <c r="AK17" s="232" t="str">
        <f>IF(ISNUMBER(Datos!BX17),Datos!BX17," - ")</f>
        <v xml:space="preserve"> - </v>
      </c>
      <c r="AL17" s="243">
        <f>IF(ISNUMBER(NºAsuntos!G17/NºAsuntos!E17),NºAsuntos!G17/NºAsuntos!E17," - ")</f>
        <v>0.88259109311740891</v>
      </c>
      <c r="AM17" s="260">
        <f>IF(ISNUMBER(((NºAsuntos!I17/NºAsuntos!G17)*11)/factor_trimestre),((NºAsuntos!I17/NºAsuntos!G17)*11)/factor_trimestre," - ")</f>
        <v>3.7339449541284404</v>
      </c>
      <c r="AN17" s="244">
        <f>IF(ISNUMBER('Resol  Asuntos'!D17/NºAsuntos!G17),'Resol  Asuntos'!D17/NºAsuntos!G17," - ")</f>
        <v>0.21100917431192662</v>
      </c>
      <c r="AO17" s="245">
        <f>IF(ISNUMBER((NºAsuntos!C17+NºAsuntos!E17)/NºAsuntos!G17),(NºAsuntos!C17+NºAsuntos!E17)/NºAsuntos!G17," - ")</f>
        <v>1.6376146788990826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955</v>
      </c>
      <c r="G18" s="866">
        <f>SUBTOTAL(9,G15:G17)</f>
        <v>1176</v>
      </c>
      <c r="H18" s="865">
        <f t="shared" ref="H18:O18" si="10">SUBTOTAL(9,H14:H17)</f>
        <v>0</v>
      </c>
      <c r="I18" s="867">
        <f t="shared" si="10"/>
        <v>0</v>
      </c>
      <c r="J18" s="867">
        <f t="shared" si="10"/>
        <v>0</v>
      </c>
      <c r="K18" s="867">
        <f t="shared" si="10"/>
        <v>0</v>
      </c>
      <c r="L18" s="867">
        <f t="shared" si="10"/>
        <v>115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2487</v>
      </c>
      <c r="X18" s="867">
        <f t="shared" si="11"/>
        <v>91</v>
      </c>
      <c r="Y18" s="868">
        <f t="shared" si="11"/>
        <v>2578</v>
      </c>
      <c r="Z18" s="868">
        <f t="shared" si="11"/>
        <v>0</v>
      </c>
      <c r="AA18" s="868">
        <f t="shared" si="11"/>
        <v>994</v>
      </c>
      <c r="AB18" s="868">
        <f t="shared" si="11"/>
        <v>273</v>
      </c>
      <c r="AC18" s="868">
        <f t="shared" si="11"/>
        <v>1267</v>
      </c>
      <c r="AD18" s="868">
        <f t="shared" si="11"/>
        <v>0</v>
      </c>
      <c r="AE18" s="872">
        <f t="shared" si="11"/>
        <v>0</v>
      </c>
      <c r="AF18" s="865">
        <f t="shared" si="11"/>
        <v>0</v>
      </c>
      <c r="AG18" s="873">
        <f t="shared" si="11"/>
        <v>0</v>
      </c>
      <c r="AH18" s="870">
        <f t="shared" si="11"/>
        <v>0</v>
      </c>
      <c r="AI18" s="865">
        <f t="shared" si="11"/>
        <v>579</v>
      </c>
      <c r="AJ18" s="867">
        <f t="shared" si="11"/>
        <v>0</v>
      </c>
      <c r="AK18" s="870">
        <f t="shared" si="11"/>
        <v>0</v>
      </c>
      <c r="AL18" s="874">
        <f>IF(ISNUMBER(NºAsuntos!G18/NºAsuntos!E18),NºAsuntos!G18/NºAsuntos!E18," - ")</f>
        <v>1.0024183796856105</v>
      </c>
      <c r="AM18" s="874">
        <f>IF(ISNUMBER(((NºAsuntos!I18/NºAsuntos!G18)*11)/factor_trimestre),((NºAsuntos!I18/NºAsuntos!G18)*11)/factor_trimestre," - ")</f>
        <v>4.3964616003216728</v>
      </c>
      <c r="AN18" s="875">
        <f>IF(ISNUMBER('Resol  Asuntos'!D18/NºAsuntos!G18),'Resol  Asuntos'!D18/NºAsuntos!G18," - ")</f>
        <v>0.23281061519903498</v>
      </c>
      <c r="AO18" s="876">
        <f>IF(ISNUMBER((NºAsuntos!C18+NºAsuntos!E18)/NºAsuntos!G18),(NºAsuntos!C18+NºAsuntos!E18)/NºAsuntos!G18," - ")</f>
        <v>1.4704463208685163</v>
      </c>
      <c r="AP18" s="877" t="str">
        <f t="shared" si="2"/>
        <v xml:space="preserve"> - </v>
      </c>
      <c r="AQ18" s="877">
        <f>IF(ISNUMBER((H18-W18+K18)/(F18)),(H18-W18+K18)/(F18)," - ")</f>
        <v>-2.6041884816753926</v>
      </c>
      <c r="AR18" s="878">
        <f>IF(ISNUMBER((Datos!P18-Datos!Q18)/(Datos!R18-Datos!P18+Datos!Q18)),(Datos!P18-Datos!Q18)/(Datos!R18-Datos!P18+Datos!Q18)," - ")</f>
        <v>9.6385542168674704E-2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980</v>
      </c>
      <c r="G19" s="821">
        <f t="shared" si="13"/>
        <v>1211</v>
      </c>
      <c r="H19" s="820">
        <f t="shared" si="13"/>
        <v>0</v>
      </c>
      <c r="I19" s="822">
        <f t="shared" si="13"/>
        <v>0</v>
      </c>
      <c r="J19" s="822">
        <f t="shared" si="13"/>
        <v>0</v>
      </c>
      <c r="K19" s="881">
        <f t="shared" si="13"/>
        <v>0</v>
      </c>
      <c r="L19" s="822">
        <f t="shared" si="13"/>
        <v>553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2509</v>
      </c>
      <c r="X19" s="821">
        <f t="shared" si="14"/>
        <v>579</v>
      </c>
      <c r="Y19" s="828">
        <f t="shared" si="14"/>
        <v>3088</v>
      </c>
      <c r="Z19" s="828">
        <f t="shared" si="14"/>
        <v>0</v>
      </c>
      <c r="AA19" s="828">
        <f t="shared" si="14"/>
        <v>1017</v>
      </c>
      <c r="AB19" s="828">
        <f t="shared" si="14"/>
        <v>2017</v>
      </c>
      <c r="AC19" s="828">
        <f t="shared" si="14"/>
        <v>1295</v>
      </c>
      <c r="AD19" s="828">
        <f t="shared" si="14"/>
        <v>0</v>
      </c>
      <c r="AE19" s="830">
        <f t="shared" si="14"/>
        <v>0</v>
      </c>
      <c r="AF19" s="831">
        <f t="shared" si="14"/>
        <v>0</v>
      </c>
      <c r="AG19" s="832">
        <f t="shared" si="14"/>
        <v>0</v>
      </c>
      <c r="AH19" s="830">
        <f t="shared" si="14"/>
        <v>0</v>
      </c>
      <c r="AI19" s="820">
        <f t="shared" si="14"/>
        <v>1226</v>
      </c>
      <c r="AJ19" s="820">
        <f t="shared" si="14"/>
        <v>0</v>
      </c>
      <c r="AK19" s="830">
        <f t="shared" si="14"/>
        <v>0</v>
      </c>
      <c r="AL19" s="884">
        <f>IF(ISNUMBER(NºAsuntos!G19/NºAsuntos!E19),NºAsuntos!G19/NºAsuntos!E19," - ")</f>
        <v>1.0051140833988985</v>
      </c>
      <c r="AM19" s="885">
        <f>IF(ISNUMBER(((NºAsuntos!I19/NºAsuntos!G19)*11)/factor_trimestre),((NºAsuntos!I19/NºAsuntos!G19)*11)/factor_trimestre," - ")</f>
        <v>4.7315068493150685</v>
      </c>
      <c r="AN19" s="885">
        <f>IF(ISNUMBER('Resol  Asuntos'!D19/NºAsuntos!G19),'Resol  Asuntos'!D19/NºAsuntos!G19," - ")</f>
        <v>0.23992172211350293</v>
      </c>
      <c r="AO19" s="886">
        <f>IF(ISNUMBER((NºAsuntos!C19+NºAsuntos!E19)/NºAsuntos!G19),(NºAsuntos!C19+NºAsuntos!E19)/NºAsuntos!G19," - ")</f>
        <v>1.4665362035225049</v>
      </c>
      <c r="AP19" s="887" t="str">
        <f t="shared" si="2"/>
        <v xml:space="preserve"> - </v>
      </c>
      <c r="AQ19" s="888">
        <f>IF(OR(ISNUMBER(FIND("01",Criterios!A8,1)),ISNUMBER(FIND("02",Criterios!A8,1)),ISNUMBER(FIND("03",Criterios!A8,1)),ISNUMBER(FIND("04",Criterios!A8,1))),(I19-W19+K19)/(F19-K19),(H19-W19+K19)/(F19-K19))</f>
        <v>-2.5602040816326532</v>
      </c>
      <c r="AR19" s="889">
        <f>IF(ISNUMBER((Datos!P19-Datos!Q19)/(Datos!R19-Datos!P19+Datos!Q19)),(Datos!P19-Datos!Q19)/(Datos!R19-Datos!P19+Datos!Q19)," - ")</f>
        <v>-1.2726382770435633E-2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484.4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536.93575034635194</v>
      </c>
      <c r="G21" s="253">
        <f>IF(ISNUMBER(STDEV(G8:G18)),STDEV(G8:G18),"-")</f>
        <v>583.2377731251637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1259.5591689158553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297.11052937697559</v>
      </c>
      <c r="AJ21" s="252">
        <f t="shared" si="18"/>
        <v>0</v>
      </c>
      <c r="AK21" s="254">
        <f t="shared" si="18"/>
        <v>0</v>
      </c>
      <c r="AL21" s="249">
        <f t="shared" si="18"/>
        <v>6.9432831455701643E-2</v>
      </c>
      <c r="AM21" s="250">
        <f t="shared" si="18"/>
        <v>2.8866005064082207</v>
      </c>
      <c r="AN21" s="250">
        <f t="shared" si="18"/>
        <v>0.12781215063516266</v>
      </c>
      <c r="AO21" s="251">
        <f t="shared" si="18"/>
        <v>0.41606158610745281</v>
      </c>
      <c r="AP21" s="291" t="str">
        <f t="shared" si="18"/>
        <v>-</v>
      </c>
      <c r="AQ21" s="292">
        <f t="shared" si="18"/>
        <v>1.2191853674364075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EL8RNAlY4iqVZS9ox52hED3iX5AePYVa6OHwr25JksQB0nM0JpMfOwdTxwhu/wePmpAwNzaS0P3w7zCQQLNmIw==" saltValue="1+96XLdURWdNCL7azm3G+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GERNIKA-LUMO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0.45833333333333331</v>
      </c>
      <c r="E10" s="348">
        <f>IF(ISNUMBER((Datos!J10-Datos!T10)/Datos!T10),(Datos!J10-Datos!T10)/Datos!T10," - ")</f>
        <v>-0.53488372093023251</v>
      </c>
      <c r="F10" s="348">
        <f>IF(ISNUMBER((Datos!K10-Datos!U10)/Datos!U10),(Datos!K10-Datos!U10)/Datos!U10," - ")</f>
        <v>-0.3125</v>
      </c>
      <c r="G10" s="349">
        <f>IF(ISNUMBER((Datos!L10-Datos!V10)/Datos!V10),(Datos!L10-Datos!V10)/Datos!V10," - ")</f>
        <v>-0.34285714285714286</v>
      </c>
      <c r="H10" s="230">
        <f>IF(ISNUMBER((Datos!M10-Datos!W10)/Datos!W10),(Datos!M10-Datos!W10)/Datos!W10," - ")</f>
        <v>-0.14285714285714285</v>
      </c>
      <c r="I10" s="350">
        <f>IF(ISNUMBER((Tasas!C10-Datos!BE10)/Datos!BE10),(Tasas!C10-Datos!BE10)/Datos!BE10," - ")</f>
        <v>-4.4155844155844191E-2</v>
      </c>
      <c r="J10" s="349">
        <f>IF(ISNUMBER((Tasas!D10-Datos!BF10)/Datos!BF10),(Tasas!D10-Datos!BF10)/Datos!BF10," - ")</f>
        <v>0.24675324675324667</v>
      </c>
      <c r="K10" s="351">
        <f>IF(ISNUMBER((Tasas!E10-Datos!BG10)/Datos!BG10),(Tasas!E10-Datos!BG10)/Datos!BG10," - ")</f>
        <v>0.19402985074626866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0.30122950819672129</v>
      </c>
      <c r="I12" s="350">
        <f>IF(ISNUMBER((Tasas!C12-Datos!BE12)/Datos!BE12),(Tasas!C12-Datos!BE12)/Datos!BE12," - ")</f>
        <v>-0.17633687434646145</v>
      </c>
      <c r="J12" s="349">
        <f>IF(ISNUMBER((Tasas!D12-Datos!BF12)/Datos!BF12),(Tasas!D12-Datos!BF12)/Datos!BF12," - ")</f>
        <v>-0.37308418749123368</v>
      </c>
      <c r="K12" s="351">
        <f>IF(ISNUMBER((Tasas!E12-Datos!BG12)/Datos!BG12),(Tasas!E12-Datos!BG12)/Datos!BG12," - ")</f>
        <v>-6.5433780242732498E-2</v>
      </c>
      <c r="M12" t="e">
        <f>IF(Monitorios="SI",Datos!CE12,0)</f>
        <v>#REF!</v>
      </c>
      <c r="N12" t="e">
        <f>IF(Monitorios="SI",Datos!CF12,0)</f>
        <v>#REF!</v>
      </c>
      <c r="O12" t="e">
        <f>IF(Monitorios="SI",Datos!CG12,0)</f>
        <v>#REF!</v>
      </c>
      <c r="P12" t="e">
        <f>IF(Monitorios="SI",Datos!CH12,0)</f>
        <v>#REF!</v>
      </c>
      <c r="Q12">
        <f>IF(J_V="SI",0,Datos!AG12)</f>
        <v>220</v>
      </c>
      <c r="R12">
        <f>IF(J_V="SI",0,Datos!AH12)</f>
        <v>337</v>
      </c>
      <c r="S12">
        <f>IF(J_V="SI",0,Datos!AI12)</f>
        <v>357</v>
      </c>
      <c r="T12">
        <f>IF(J_V="SI",0,Datos!AJ12)</f>
        <v>200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0.28884462151394424</v>
      </c>
      <c r="I13" s="357">
        <f>IF(ISNUMBER((Tasas!C13-Datos!BE13)/Datos!BE13),(Tasas!C13-Datos!BE13)/Datos!BE13," - ")</f>
        <v>-0.179052528097351</v>
      </c>
      <c r="J13" s="355">
        <f>IF(ISNUMBER((Tasas!D13-Datos!BF13)/Datos!BF13),(Tasas!D13-Datos!BF13)/Datos!BF13," - ")</f>
        <v>-0.36772622069666039</v>
      </c>
      <c r="K13" s="358">
        <f>IF(ISNUMBER((Tasas!E13-Datos!BG13)/Datos!BG13),(Tasas!E13-Datos!BG13)/Datos!BG13," - ")</f>
        <v>-6.4484726147548244E-2</v>
      </c>
      <c r="M13" t="e">
        <f>IF(Monitorios="SI",Datos!CE13,0)</f>
        <v>#REF!</v>
      </c>
      <c r="N13" t="e">
        <f>IF(Monitorios="SI",Datos!CF13,0)</f>
        <v>#REF!</v>
      </c>
      <c r="O13" t="e">
        <f>IF(Monitorios="SI",Datos!CG13,0)</f>
        <v>#REF!</v>
      </c>
      <c r="P13" t="e">
        <f>IF(Monitorios="SI",Datos!CH13,0)</f>
        <v>#REF!</v>
      </c>
      <c r="Q13">
        <f>IF(J_V="SI",0,Datos!AG13)</f>
        <v>220</v>
      </c>
      <c r="R13">
        <f>IF(J_V="SI",0,Datos!AH13)</f>
        <v>337</v>
      </c>
      <c r="S13">
        <f>IF(J_V="SI",0,Datos!AI13)</f>
        <v>357</v>
      </c>
      <c r="T13">
        <f>IF(J_V="SI",0,Datos!AJ13)</f>
        <v>200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0.2889963724304716</v>
      </c>
      <c r="E16" s="348">
        <f>IF(ISNUMBER(
   IF(D_I="SI",(Datos!J16-Datos!T16)/Datos!T16,(Datos!J16+Datos!AD16-(Datos!T16+Datos!AL16))/(Datos!T16+Datos!AL16))
     ),IF(D_I="SI",(Datos!J16-Datos!T16)/Datos!T16,(Datos!J16+Datos!AD16-(Datos!T16+Datos!AL16))/(Datos!T16+Datos!AL16))," - ")</f>
        <v>0.25224215246636772</v>
      </c>
      <c r="F16" s="348">
        <f>IF(ISNUMBER(
   IF(D_I="SI",(Datos!K16-Datos!U16)/Datos!U16,(Datos!K16+Datos!AE16-(Datos!U16+Datos!AM16))/(Datos!U16+Datos!AM16))
     ),IF(D_I="SI",(Datos!K16-Datos!U16)/Datos!U16,(Datos!K16+Datos!AE16-(Datos!U16+Datos!AM16))/(Datos!U16+Datos!AM16))," - ")</f>
        <v>0.45542014111610007</v>
      </c>
      <c r="G16" s="349">
        <f>IF(ISNUMBER(
   IF(D_I="SI",(Datos!L16-Datos!V16)/Datos!V16,(Datos!L16+Datos!AF16-(Datos!V16+Datos!AN16))/(Datos!V16+Datos!AN16))
     ),IF(D_I="SI",(Datos!L16-Datos!V16)/Datos!V16,(Datos!L16+Datos!AF16-(Datos!V16+Datos!AN16))/(Datos!V16+Datos!AN16))," - ")</f>
        <v>-0.13696060037523453</v>
      </c>
      <c r="H16" s="230">
        <f>IF(ISNUMBER((Datos!M16-Datos!W16)/Datos!W16),(Datos!M16-Datos!W16)/Datos!W16," - ")</f>
        <v>0.44054054054054054</v>
      </c>
      <c r="I16" s="350">
        <f>IF(ISNUMBER((Tasas!C16-Datos!BE16)/Datos!BE16),(Tasas!C16-Datos!BE16)/Datos!BE16," - ")</f>
        <v>-0.40701700131555341</v>
      </c>
      <c r="J16" s="349">
        <f>IF(ISNUMBER((Tasas!D16-Datos!BF16)/Datos!BF16),(Tasas!D16-Datos!BF16)/Datos!BF16," - ")</f>
        <v>-1.0223577477874607E-2</v>
      </c>
      <c r="K16" s="351">
        <f>IF(ISNUMBER((Tasas!E16-Datos!BG16)/Datos!BG16),(Tasas!E16-Datos!BG16)/Datos!BG16," - ")</f>
        <v>-0.13160225435359332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v>
      </c>
      <c r="E17" s="348">
        <f>IF(ISNUMBER(
   IF(D_I="SI",(Datos!J17-Datos!T17)/Datos!T17,(Datos!J17+Datos!AD17-(Datos!T17+Datos!AL17))/(Datos!T17+Datos!AL17))
     ),IF(D_I="SI",(Datos!J17-Datos!T17)/Datos!T17,(Datos!J17+Datos!AD17-(Datos!T17+Datos!AL17))/(Datos!T17+Datos!AL17))," - ")</f>
        <v>0.18181818181818182</v>
      </c>
      <c r="F17" s="348">
        <f>IF(ISNUMBER(
   IF(D_I="SI",(Datos!K17-Datos!U17)/Datos!U17,(Datos!K17+Datos!AE17-(Datos!U17+Datos!AM17))/(Datos!U17+Datos!AM17))
     ),IF(D_I="SI",(Datos!K17-Datos!U17)/Datos!U17,(Datos!K17+Datos!AE17-(Datos!U17+Datos!AM17))/(Datos!U17+Datos!AM17))," - ")</f>
        <v>0.16577540106951871</v>
      </c>
      <c r="G17" s="349">
        <f>IF(ISNUMBER(
   IF(D_I="SI",(Datos!L17-Datos!V17)/Datos!V17,(Datos!L17+Datos!AF17-(Datos!V17+Datos!AN17))/(Datos!V17+Datos!AN17))
     ),IF(D_I="SI",(Datos!L17-Datos!V17)/Datos!V17,(Datos!L17+Datos!AF17-(Datos!V17+Datos!AN17))/(Datos!V17+Datos!AN17))," - ")</f>
        <v>-0.32727272727272727</v>
      </c>
      <c r="H17" s="230">
        <f>IF(ISNUMBER((Datos!M17-Datos!W17)/Datos!W17),(Datos!M17-Datos!W17)/Datos!W17," - ")</f>
        <v>0.31428571428571428</v>
      </c>
      <c r="I17" s="350">
        <f>IF(ISNUMBER((Tasas!C17-Datos!BE17)/Datos!BE17),(Tasas!C17-Datos!BE17)/Datos!BE17," - ")</f>
        <v>-0.42293577981651376</v>
      </c>
      <c r="J17" s="349">
        <f>IF(ISNUMBER((Tasas!D17-Datos!BF17)/Datos!BF17),(Tasas!D17-Datos!BF17)/Datos!BF17," - ")</f>
        <v>0.12739187418086509</v>
      </c>
      <c r="K17" s="351">
        <f>IF(ISNUMBER((Tasas!E17-Datos!BG17)/Datos!BG17),(Tasas!E17-Datos!BG17)/Datos!BG17," - ")</f>
        <v>3.1090723751274311E-2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0.28524590163934427</v>
      </c>
      <c r="E18" s="354">
        <f>IF(ISNUMBER(
   IF(D_I="SI",(Datos!J18-Datos!T18)/Datos!T18,(Datos!J18+Datos!AD18-(Datos!T18+Datos!AL18))/(Datos!T18+Datos!AL18))
     ),IF(D_I="SI",(Datos!J18-Datos!T18)/Datos!T18,(Datos!J18+Datos!AD18-(Datos!T18+Datos!AL18))/(Datos!T18+Datos!AL18))," - ")</f>
        <v>0.24485699949824385</v>
      </c>
      <c r="F18" s="354">
        <f>IF(ISNUMBER(
   IF(D_I="SI",(Datos!K18-Datos!U18)/Datos!U18,(Datos!K18+Datos!AE18-(Datos!U18+Datos!AM18))/(Datos!U18+Datos!AM18))
     ),IF(D_I="SI",(Datos!K18-Datos!U18)/Datos!U18,(Datos!K18+Datos!AE18-(Datos!U18+Datos!AM18))/(Datos!U18+Datos!AM18))," - ")</f>
        <v>0.42439862542955326</v>
      </c>
      <c r="G18" s="355">
        <f>IF(ISNUMBER(
   IF(D_I="SI",(Datos!L18-Datos!V18)/Datos!V18,(Datos!L18+Datos!AF18-(Datos!V18+Datos!AN18))/(Datos!V18+Datos!AN18))
     ),IF(D_I="SI",(Datos!L18-Datos!V18)/Datos!V18,(Datos!L18+Datos!AF18-(Datos!V18+Datos!AN18))/(Datos!V18+Datos!AN18))," - ")</f>
        <v>-0.15476190476190477</v>
      </c>
      <c r="H18" s="356">
        <f>IF(ISNUMBER((Datos!M18-Datos!W18)/Datos!W18),(Datos!M18-Datos!W18)/Datos!W18," - ")</f>
        <v>0.42962962962962964</v>
      </c>
      <c r="I18" s="357">
        <f>IF(ISNUMBER((Tasas!C18-Datos!BE18)/Datos!BE18),(Tasas!C18-Datos!BE18)/Datos!BE18," - ")</f>
        <v>-0.40660003446493198</v>
      </c>
      <c r="J18" s="355">
        <f>IF(ISNUMBER((Tasas!D18-Datos!BF18)/Datos!BF18),(Tasas!D18-Datos!BF18)/Datos!BF18," - ")</f>
        <v>3.6724299691729941E-3</v>
      </c>
      <c r="K18" s="358">
        <f>IF(ISNUMBER((Tasas!E18-Datos!BG18)/Datos!BG18),(Tasas!E18-Datos!BG18)/Datos!BG18," - ")</f>
        <v>-0.11712542082653735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0.11884865366759517</v>
      </c>
      <c r="E19" s="363">
        <f>IF(ISNUMBER(
   IF(J_V="SI",(Datos!J19-Datos!T19)/Datos!T19,(Datos!J19+Datos!Z19-(Datos!T19+Datos!AH19))/(Datos!T19+Datos!AH19))
     ),IF(J_V="SI",(Datos!J19-Datos!T19)/Datos!T19,(Datos!J19+Datos!Z19-(Datos!T19+Datos!AH19))/(Datos!T19+Datos!AH19))," - ")</f>
        <v>0.20903686087990486</v>
      </c>
      <c r="F19" s="363">
        <f>IF(ISNUMBER(
   IF(J_V="SI",(Datos!K19-Datos!U19)/Datos!U19,(Datos!K19+Datos!AA19-(Datos!U19+Datos!AI19))/(Datos!U19+Datos!AI19))
     ),IF(J_V="SI",(Datos!K19-Datos!U19)/Datos!U19,(Datos!K19+Datos!AA19-(Datos!U19+Datos!AI19))/(Datos!U19+Datos!AI19))," - ")</f>
        <v>0.29268909688843914</v>
      </c>
      <c r="G19" s="364">
        <f>IF(ISNUMBER(
   IF(J_V="SI",(Datos!L19-Datos!V19)/Datos!V19,(Datos!L19+Datos!AB19-(Datos!V19+Datos!AJ19))/(Datos!V19+Datos!AJ19))
     ),IF(J_V="SI",(Datos!L19-Datos!V19)/Datos!V19,(Datos!L19+Datos!AB19-(Datos!V19+Datos!AJ19))/(Datos!V19+Datos!AJ19))," - ")</f>
        <v>-8.7966804979253119E-2</v>
      </c>
      <c r="H19" s="365">
        <f>IF(ISNUMBER((Datos!M19-Datos!W19)/Datos!W19),(Datos!M19-Datos!W19)/Datos!W19," - ")</f>
        <v>0.35170893054024255</v>
      </c>
      <c r="I19" s="362">
        <f>IF(ISNUMBER((Tasas!C19-Datos!BE19)/Datos!BE19),(Tasas!C19-Datos!BE19)/Datos!BE19," - ")</f>
        <v>-0.29446825441937136</v>
      </c>
      <c r="J19" s="363">
        <f>IF(ISNUMBER((Tasas!D19-Datos!BF19)/Datos!BF19),(Tasas!D19-Datos!BF19)/Datos!BF19," - ")</f>
        <v>-0.25086053118903867</v>
      </c>
      <c r="K19" s="364">
        <f>IF(ISNUMBER((Tasas!E19-Datos!BG19)/Datos!BG19),(Tasas!E19-Datos!BG19)/Datos!BG19," - ")</f>
        <v>-8.8344454706013195E-2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9.3458591451097542E-2</v>
      </c>
      <c r="E21" s="278">
        <f t="shared" si="1"/>
        <v>0.38190447297378316</v>
      </c>
      <c r="F21" s="278">
        <f t="shared" si="1"/>
        <v>0.35510686990098111</v>
      </c>
      <c r="G21" s="279">
        <f t="shared" si="1"/>
        <v>0.10966298934109113</v>
      </c>
      <c r="H21" s="285">
        <f t="shared" si="1"/>
        <v>0.21367528268049951</v>
      </c>
      <c r="I21" s="277">
        <f t="shared" si="1"/>
        <v>0.16051741091065308</v>
      </c>
      <c r="J21" s="278">
        <f t="shared" si="1"/>
        <v>0.25629403523425187</v>
      </c>
      <c r="K21" s="279">
        <f t="shared" si="1"/>
        <v>0.12178936007500961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3lbclf0AGWSNsuO1cU+vYIPMoBKOroryPrhUA0+vxf1EeMMmlK4NqOnc0koPcFvAg3cyMYEjbG9BiZX+898pQ==" saltValue="C39Ozna8cDNC5juCiIZ4c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